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43\Gerent\03_PRESUPUESTOS Y ORDENANZA\2026\GERENCIA\"/>
    </mc:Choice>
  </mc:AlternateContent>
  <xr:revisionPtr revIDLastSave="0" documentId="13_ncr:1_{4BD9B80C-489C-400B-BA32-D0DAE4B767B1}" xr6:coauthVersionLast="47" xr6:coauthVersionMax="47" xr10:uidLastSave="{00000000-0000-0000-0000-000000000000}"/>
  <bookViews>
    <workbookView xWindow="-110" yWindow="-110" windowWidth="19420" windowHeight="10300" firstSheet="1" activeTab="5" xr2:uid="{3F5236B7-B353-475E-BE21-6A3B3ECC145D}"/>
  </bookViews>
  <sheets>
    <sheet name="DATOS 25 - REALES" sheetId="6" r:id="rId1"/>
    <sheet name="COSTES 26" sheetId="1" r:id="rId2"/>
    <sheet name="GENERALES" sheetId="3" r:id="rId3"/>
    <sheet name="GRAFICOS " sheetId="7" r:id="rId4"/>
    <sheet name="ecoparques" sheetId="4" r:id="rId5"/>
    <sheet name="TN 2026" sheetId="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3" i="3" l="1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52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04" i="3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4" i="5"/>
  <c r="C6" i="7" l="1"/>
  <c r="C8" i="7"/>
  <c r="E56" i="1"/>
  <c r="C81" i="3" l="1"/>
  <c r="I44" i="1"/>
  <c r="I45" i="1"/>
  <c r="D21" i="1"/>
  <c r="H1" i="1" l="1"/>
  <c r="G1" i="1"/>
  <c r="C13" i="4" l="1"/>
  <c r="L322" i="3" l="1"/>
  <c r="F62" i="3" l="1"/>
  <c r="G22" i="3"/>
  <c r="N316" i="3"/>
  <c r="D18" i="1"/>
  <c r="N321" i="3"/>
  <c r="N325" i="3"/>
  <c r="N322" i="3"/>
  <c r="L321" i="3"/>
  <c r="L312" i="3"/>
  <c r="N312" i="3" s="1"/>
  <c r="N323" i="3" l="1"/>
  <c r="D288" i="3"/>
  <c r="D297" i="3"/>
  <c r="J298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52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04" i="3"/>
  <c r="G249" i="3"/>
  <c r="G250" i="3"/>
  <c r="D215" i="3" l="1"/>
  <c r="D238" i="3"/>
  <c r="D249" i="3"/>
  <c r="D250" i="3"/>
  <c r="L97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" i="5"/>
  <c r="L5" i="5"/>
  <c r="L6" i="5"/>
  <c r="L7" i="5"/>
  <c r="L8" i="5"/>
  <c r="L10" i="5"/>
  <c r="L11" i="5"/>
  <c r="L12" i="5"/>
  <c r="L13" i="5"/>
  <c r="L14" i="5"/>
  <c r="L15" i="5"/>
  <c r="L4" i="5"/>
  <c r="U97" i="5"/>
  <c r="K5" i="3" l="1"/>
  <c r="C45" i="1" l="1"/>
  <c r="E45" i="1" s="1"/>
  <c r="G44" i="1"/>
  <c r="G45" i="1"/>
  <c r="E44" i="1"/>
  <c r="E39" i="1"/>
  <c r="E35" i="1"/>
  <c r="E33" i="1"/>
  <c r="D41" i="1"/>
  <c r="E41" i="1" s="1"/>
  <c r="D36" i="1"/>
  <c r="E36" i="1" s="1"/>
  <c r="D38" i="1"/>
  <c r="E38" i="1" s="1"/>
  <c r="D39" i="1"/>
  <c r="D35" i="1"/>
  <c r="D30" i="1"/>
  <c r="E30" i="1" s="1"/>
  <c r="D31" i="1"/>
  <c r="E31" i="1" s="1"/>
  <c r="D32" i="1"/>
  <c r="D33" i="1"/>
  <c r="D29" i="1"/>
  <c r="H44" i="1" l="1"/>
  <c r="H45" i="1"/>
  <c r="N5" i="3"/>
  <c r="D37" i="1" l="1"/>
  <c r="E37" i="1" s="1"/>
  <c r="D45" i="1"/>
  <c r="F99" i="5"/>
  <c r="F15" i="5"/>
  <c r="B5" i="5"/>
  <c r="C5" i="5"/>
  <c r="D5" i="5"/>
  <c r="B6" i="5"/>
  <c r="C6" i="5"/>
  <c r="D6" i="5"/>
  <c r="B7" i="5"/>
  <c r="C7" i="5"/>
  <c r="D7" i="5"/>
  <c r="B8" i="5"/>
  <c r="C8" i="5"/>
  <c r="D8" i="5"/>
  <c r="B9" i="5"/>
  <c r="C9" i="5"/>
  <c r="D9" i="5"/>
  <c r="B10" i="5"/>
  <c r="C10" i="5"/>
  <c r="D10" i="5"/>
  <c r="B11" i="5"/>
  <c r="C11" i="5"/>
  <c r="D11" i="5"/>
  <c r="B12" i="5"/>
  <c r="C12" i="5"/>
  <c r="D12" i="5"/>
  <c r="B13" i="5"/>
  <c r="C13" i="5"/>
  <c r="D13" i="5"/>
  <c r="B14" i="5"/>
  <c r="C14" i="5"/>
  <c r="D14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B35" i="5"/>
  <c r="C35" i="5"/>
  <c r="D35" i="5"/>
  <c r="B36" i="5"/>
  <c r="C36" i="5"/>
  <c r="D36" i="5"/>
  <c r="B37" i="5"/>
  <c r="C37" i="5"/>
  <c r="D37" i="5"/>
  <c r="B38" i="5"/>
  <c r="C38" i="5"/>
  <c r="D38" i="5"/>
  <c r="B39" i="5"/>
  <c r="C39" i="5"/>
  <c r="D39" i="5"/>
  <c r="B40" i="5"/>
  <c r="C40" i="5"/>
  <c r="D40" i="5"/>
  <c r="B41" i="5"/>
  <c r="C41" i="5"/>
  <c r="D41" i="5"/>
  <c r="B42" i="5"/>
  <c r="C42" i="5"/>
  <c r="D42" i="5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B53" i="5"/>
  <c r="C53" i="5"/>
  <c r="D53" i="5"/>
  <c r="B54" i="5"/>
  <c r="C54" i="5"/>
  <c r="D54" i="5"/>
  <c r="B55" i="5"/>
  <c r="C55" i="5"/>
  <c r="D55" i="5"/>
  <c r="B56" i="5"/>
  <c r="C56" i="5"/>
  <c r="D56" i="5"/>
  <c r="B57" i="5"/>
  <c r="C57" i="5"/>
  <c r="D57" i="5"/>
  <c r="B58" i="5"/>
  <c r="C58" i="5"/>
  <c r="D58" i="5"/>
  <c r="B59" i="5"/>
  <c r="C59" i="5"/>
  <c r="D59" i="5"/>
  <c r="B60" i="5"/>
  <c r="C60" i="5"/>
  <c r="D60" i="5"/>
  <c r="B61" i="5"/>
  <c r="C61" i="5"/>
  <c r="D61" i="5"/>
  <c r="B62" i="5"/>
  <c r="C62" i="5"/>
  <c r="D62" i="5"/>
  <c r="B63" i="5"/>
  <c r="C63" i="5"/>
  <c r="D63" i="5"/>
  <c r="B64" i="5"/>
  <c r="C64" i="5"/>
  <c r="D64" i="5"/>
  <c r="B65" i="5"/>
  <c r="C65" i="5"/>
  <c r="D65" i="5"/>
  <c r="B66" i="5"/>
  <c r="C66" i="5"/>
  <c r="D66" i="5"/>
  <c r="B67" i="5"/>
  <c r="C67" i="5"/>
  <c r="D67" i="5"/>
  <c r="B68" i="5"/>
  <c r="C68" i="5"/>
  <c r="D68" i="5"/>
  <c r="B69" i="5"/>
  <c r="C69" i="5"/>
  <c r="D69" i="5"/>
  <c r="B70" i="5"/>
  <c r="C70" i="5"/>
  <c r="D70" i="5"/>
  <c r="B71" i="5"/>
  <c r="C71" i="5"/>
  <c r="D71" i="5"/>
  <c r="B72" i="5"/>
  <c r="C72" i="5"/>
  <c r="D72" i="5"/>
  <c r="B73" i="5"/>
  <c r="C73" i="5"/>
  <c r="D73" i="5"/>
  <c r="B74" i="5"/>
  <c r="C74" i="5"/>
  <c r="D74" i="5"/>
  <c r="B75" i="5"/>
  <c r="C75" i="5"/>
  <c r="D75" i="5"/>
  <c r="B76" i="5"/>
  <c r="C76" i="5"/>
  <c r="D76" i="5"/>
  <c r="B77" i="5"/>
  <c r="C77" i="5"/>
  <c r="D77" i="5"/>
  <c r="B78" i="5"/>
  <c r="C78" i="5"/>
  <c r="D78" i="5"/>
  <c r="B79" i="5"/>
  <c r="C79" i="5"/>
  <c r="D79" i="5"/>
  <c r="B80" i="5"/>
  <c r="C80" i="5"/>
  <c r="D80" i="5"/>
  <c r="B81" i="5"/>
  <c r="C81" i="5"/>
  <c r="D81" i="5"/>
  <c r="B82" i="5"/>
  <c r="C82" i="5"/>
  <c r="D82" i="5"/>
  <c r="B83" i="5"/>
  <c r="C83" i="5"/>
  <c r="D83" i="5"/>
  <c r="B84" i="5"/>
  <c r="C84" i="5"/>
  <c r="D84" i="5"/>
  <c r="B85" i="5"/>
  <c r="C85" i="5"/>
  <c r="D85" i="5"/>
  <c r="B86" i="5"/>
  <c r="C86" i="5"/>
  <c r="D86" i="5"/>
  <c r="B87" i="5"/>
  <c r="C87" i="5"/>
  <c r="D87" i="5"/>
  <c r="B88" i="5"/>
  <c r="C88" i="5"/>
  <c r="D88" i="5"/>
  <c r="B89" i="5"/>
  <c r="C89" i="5"/>
  <c r="D89" i="5"/>
  <c r="B90" i="5"/>
  <c r="C90" i="5"/>
  <c r="D90" i="5"/>
  <c r="B91" i="5"/>
  <c r="C91" i="5"/>
  <c r="D91" i="5"/>
  <c r="B92" i="5"/>
  <c r="C92" i="5"/>
  <c r="D92" i="5"/>
  <c r="B93" i="5"/>
  <c r="C93" i="5"/>
  <c r="D93" i="5"/>
  <c r="B94" i="5"/>
  <c r="C94" i="5"/>
  <c r="D94" i="5"/>
  <c r="B95" i="5"/>
  <c r="C95" i="5"/>
  <c r="D95" i="5"/>
  <c r="B96" i="5"/>
  <c r="C96" i="5"/>
  <c r="D96" i="5"/>
  <c r="D4" i="5"/>
  <c r="C4" i="5"/>
  <c r="B4" i="5"/>
  <c r="E83" i="5" l="1"/>
  <c r="E75" i="5"/>
  <c r="E67" i="5"/>
  <c r="E59" i="5"/>
  <c r="E51" i="5"/>
  <c r="E43" i="5"/>
  <c r="E35" i="5"/>
  <c r="E27" i="5"/>
  <c r="E19" i="5"/>
  <c r="E11" i="5"/>
  <c r="E24" i="5"/>
  <c r="E87" i="5"/>
  <c r="E47" i="5"/>
  <c r="E39" i="5"/>
  <c r="E92" i="5"/>
  <c r="E84" i="5"/>
  <c r="E76" i="5"/>
  <c r="E68" i="5"/>
  <c r="E60" i="5"/>
  <c r="E52" i="5"/>
  <c r="E44" i="5"/>
  <c r="E36" i="5"/>
  <c r="E28" i="5"/>
  <c r="E20" i="5"/>
  <c r="E12" i="5"/>
  <c r="E63" i="5"/>
  <c r="E31" i="5"/>
  <c r="E95" i="5"/>
  <c r="E79" i="5"/>
  <c r="E55" i="5"/>
  <c r="E91" i="5"/>
  <c r="E89" i="5"/>
  <c r="E81" i="5"/>
  <c r="E73" i="5"/>
  <c r="E65" i="5"/>
  <c r="E57" i="5"/>
  <c r="E49" i="5"/>
  <c r="E41" i="5"/>
  <c r="E33" i="5"/>
  <c r="E25" i="5"/>
  <c r="E17" i="5"/>
  <c r="E9" i="5"/>
  <c r="E94" i="5"/>
  <c r="E86" i="5"/>
  <c r="E78" i="5"/>
  <c r="E70" i="5"/>
  <c r="E62" i="5"/>
  <c r="E54" i="5"/>
  <c r="E46" i="5"/>
  <c r="E38" i="5"/>
  <c r="E30" i="5"/>
  <c r="E22" i="5"/>
  <c r="E14" i="5"/>
  <c r="E6" i="5"/>
  <c r="E96" i="5"/>
  <c r="E88" i="5"/>
  <c r="E56" i="5"/>
  <c r="E32" i="5"/>
  <c r="E16" i="5"/>
  <c r="E8" i="5"/>
  <c r="E93" i="5"/>
  <c r="E85" i="5"/>
  <c r="E77" i="5"/>
  <c r="E69" i="5"/>
  <c r="E61" i="5"/>
  <c r="E53" i="5"/>
  <c r="E45" i="5"/>
  <c r="E37" i="5"/>
  <c r="E29" i="5"/>
  <c r="E21" i="5"/>
  <c r="E13" i="5"/>
  <c r="E5" i="5"/>
  <c r="E80" i="5"/>
  <c r="E72" i="5"/>
  <c r="E64" i="5"/>
  <c r="E48" i="5"/>
  <c r="E40" i="5"/>
  <c r="E90" i="5"/>
  <c r="E82" i="5"/>
  <c r="E74" i="5"/>
  <c r="E66" i="5"/>
  <c r="E58" i="5"/>
  <c r="E50" i="5"/>
  <c r="E42" i="5"/>
  <c r="E34" i="5"/>
  <c r="E26" i="5"/>
  <c r="E18" i="5"/>
  <c r="E10" i="5"/>
  <c r="E71" i="5"/>
  <c r="E23" i="5"/>
  <c r="E15" i="5"/>
  <c r="E7" i="5"/>
  <c r="E4" i="5"/>
  <c r="L24" i="6" l="1"/>
  <c r="F24" i="6"/>
  <c r="L21" i="6"/>
  <c r="L22" i="6" l="1"/>
  <c r="F22" i="6"/>
  <c r="C35" i="1"/>
  <c r="C37" i="1" s="1"/>
  <c r="G22" i="6"/>
  <c r="M21" i="6"/>
  <c r="C39" i="1" l="1"/>
  <c r="C38" i="1"/>
  <c r="C36" i="1"/>
  <c r="F21" i="6" l="1"/>
  <c r="B4" i="1"/>
  <c r="N22" i="6"/>
  <c r="M22" i="6"/>
  <c r="N19" i="6"/>
  <c r="C19" i="6"/>
  <c r="D19" i="6"/>
  <c r="E19" i="6"/>
  <c r="F19" i="6"/>
  <c r="G19" i="6"/>
  <c r="H19" i="6"/>
  <c r="I19" i="6"/>
  <c r="J19" i="6"/>
  <c r="K19" i="6"/>
  <c r="L19" i="6"/>
  <c r="M19" i="6"/>
  <c r="B19" i="6"/>
  <c r="N11" i="6"/>
  <c r="N12" i="6"/>
  <c r="N13" i="6"/>
  <c r="N14" i="6"/>
  <c r="N15" i="6"/>
  <c r="N16" i="6"/>
  <c r="N17" i="6"/>
  <c r="N7" i="6"/>
  <c r="N8" i="6"/>
  <c r="N9" i="6"/>
  <c r="N10" i="6"/>
  <c r="N6" i="6"/>
  <c r="G11" i="6"/>
  <c r="C17" i="6"/>
  <c r="D17" i="6"/>
  <c r="E17" i="6"/>
  <c r="F17" i="6"/>
  <c r="G17" i="6"/>
  <c r="H17" i="6"/>
  <c r="I17" i="6"/>
  <c r="J17" i="6"/>
  <c r="K17" i="6"/>
  <c r="L17" i="6"/>
  <c r="M17" i="6"/>
  <c r="C11" i="6"/>
  <c r="D11" i="6"/>
  <c r="E11" i="6"/>
  <c r="F11" i="6"/>
  <c r="H11" i="6"/>
  <c r="I11" i="6"/>
  <c r="J11" i="6"/>
  <c r="K11" i="6"/>
  <c r="L11" i="6"/>
  <c r="M11" i="6"/>
  <c r="B17" i="6"/>
  <c r="B11" i="6"/>
  <c r="E148" i="5"/>
  <c r="G147" i="5"/>
  <c r="H147" i="5" s="1"/>
  <c r="H146" i="5"/>
  <c r="G146" i="5"/>
  <c r="E97" i="5" l="1"/>
  <c r="E100" i="5" s="1"/>
  <c r="E102" i="5" s="1"/>
  <c r="D97" i="5"/>
  <c r="C97" i="5"/>
  <c r="B97" i="5"/>
  <c r="K4" i="5" s="1"/>
  <c r="D7" i="4"/>
  <c r="L313" i="3"/>
  <c r="N313" i="3" s="1"/>
  <c r="N314" i="3" s="1"/>
  <c r="G299" i="3"/>
  <c r="N251" i="3"/>
  <c r="M251" i="3"/>
  <c r="L251" i="3"/>
  <c r="K251" i="3"/>
  <c r="K298" i="3" s="1"/>
  <c r="J251" i="3"/>
  <c r="I251" i="3"/>
  <c r="H251" i="3"/>
  <c r="G251" i="3"/>
  <c r="F251" i="3"/>
  <c r="E251" i="3"/>
  <c r="D251" i="3"/>
  <c r="C251" i="3"/>
  <c r="H150" i="3"/>
  <c r="C150" i="3"/>
  <c r="C82" i="3"/>
  <c r="F54" i="3"/>
  <c r="F51" i="3"/>
  <c r="D10" i="4" l="1"/>
  <c r="B30" i="4" s="1"/>
  <c r="D9" i="4"/>
  <c r="B36" i="4" s="1"/>
  <c r="K93" i="5"/>
  <c r="F93" i="5" s="1"/>
  <c r="D294" i="3" s="1"/>
  <c r="K74" i="5"/>
  <c r="F74" i="5" s="1"/>
  <c r="D275" i="3" s="1"/>
  <c r="F4" i="5"/>
  <c r="K18" i="5"/>
  <c r="F18" i="5" s="1"/>
  <c r="K82" i="5"/>
  <c r="F82" i="5" s="1"/>
  <c r="D283" i="3" s="1"/>
  <c r="F50" i="5"/>
  <c r="K77" i="5"/>
  <c r="F77" i="5" s="1"/>
  <c r="D278" i="3" s="1"/>
  <c r="K13" i="5"/>
  <c r="F13" i="5" s="1"/>
  <c r="K45" i="5"/>
  <c r="F45" i="5" s="1"/>
  <c r="K21" i="5"/>
  <c r="F21" i="5" s="1"/>
  <c r="K53" i="5"/>
  <c r="F53" i="5" s="1"/>
  <c r="D254" i="3" s="1"/>
  <c r="K85" i="5"/>
  <c r="F85" i="5" s="1"/>
  <c r="D286" i="3" s="1"/>
  <c r="K34" i="5"/>
  <c r="F34" i="5" s="1"/>
  <c r="K66" i="5"/>
  <c r="F66" i="5" s="1"/>
  <c r="D267" i="3" s="1"/>
  <c r="K29" i="5"/>
  <c r="F29" i="5" s="1"/>
  <c r="K61" i="5"/>
  <c r="F61" i="5" s="1"/>
  <c r="D262" i="3" s="1"/>
  <c r="K10" i="5"/>
  <c r="F10" i="5" s="1"/>
  <c r="K42" i="5"/>
  <c r="F42" i="5" s="1"/>
  <c r="F96" i="5"/>
  <c r="K88" i="5"/>
  <c r="F88" i="5" s="1"/>
  <c r="D289" i="3" s="1"/>
  <c r="K80" i="5"/>
  <c r="F80" i="5" s="1"/>
  <c r="D281" i="3" s="1"/>
  <c r="K72" i="5"/>
  <c r="F72" i="5" s="1"/>
  <c r="D273" i="3" s="1"/>
  <c r="K64" i="5"/>
  <c r="F64" i="5" s="1"/>
  <c r="D265" i="3" s="1"/>
  <c r="K56" i="5"/>
  <c r="F56" i="5" s="1"/>
  <c r="D257" i="3" s="1"/>
  <c r="K48" i="5"/>
  <c r="F48" i="5" s="1"/>
  <c r="K40" i="5"/>
  <c r="F40" i="5" s="1"/>
  <c r="K32" i="5"/>
  <c r="F32" i="5" s="1"/>
  <c r="K24" i="5"/>
  <c r="F24" i="5" s="1"/>
  <c r="K16" i="5"/>
  <c r="F16" i="5" s="1"/>
  <c r="K8" i="5"/>
  <c r="F8" i="5" s="1"/>
  <c r="K95" i="5"/>
  <c r="F95" i="5" s="1"/>
  <c r="D296" i="3" s="1"/>
  <c r="F87" i="5"/>
  <c r="K79" i="5"/>
  <c r="F79" i="5" s="1"/>
  <c r="D280" i="3" s="1"/>
  <c r="K71" i="5"/>
  <c r="F71" i="5" s="1"/>
  <c r="D272" i="3" s="1"/>
  <c r="K55" i="5"/>
  <c r="F55" i="5" s="1"/>
  <c r="D256" i="3" s="1"/>
  <c r="K47" i="5"/>
  <c r="F47" i="5" s="1"/>
  <c r="K31" i="5"/>
  <c r="F31" i="5" s="1"/>
  <c r="K91" i="5"/>
  <c r="F91" i="5" s="1"/>
  <c r="D292" i="3" s="1"/>
  <c r="K83" i="5"/>
  <c r="F83" i="5" s="1"/>
  <c r="D284" i="3" s="1"/>
  <c r="K75" i="5"/>
  <c r="F75" i="5" s="1"/>
  <c r="D276" i="3" s="1"/>
  <c r="K67" i="5"/>
  <c r="F67" i="5" s="1"/>
  <c r="D268" i="3" s="1"/>
  <c r="K59" i="5"/>
  <c r="F59" i="5" s="1"/>
  <c r="D260" i="3" s="1"/>
  <c r="K51" i="5"/>
  <c r="F51" i="5" s="1"/>
  <c r="D252" i="3" s="1"/>
  <c r="K43" i="5"/>
  <c r="F43" i="5" s="1"/>
  <c r="K35" i="5"/>
  <c r="F35" i="5" s="1"/>
  <c r="K27" i="5"/>
  <c r="F27" i="5" s="1"/>
  <c r="K19" i="5"/>
  <c r="F19" i="5" s="1"/>
  <c r="K11" i="5"/>
  <c r="F11" i="5" s="1"/>
  <c r="K63" i="5"/>
  <c r="F63" i="5" s="1"/>
  <c r="D264" i="3" s="1"/>
  <c r="K94" i="5"/>
  <c r="F94" i="5" s="1"/>
  <c r="D295" i="3" s="1"/>
  <c r="K86" i="5"/>
  <c r="F86" i="5" s="1"/>
  <c r="D287" i="3" s="1"/>
  <c r="K78" i="5"/>
  <c r="F78" i="5" s="1"/>
  <c r="D279" i="3" s="1"/>
  <c r="K70" i="5"/>
  <c r="F70" i="5" s="1"/>
  <c r="D271" i="3" s="1"/>
  <c r="K62" i="5"/>
  <c r="F62" i="5" s="1"/>
  <c r="D263" i="3" s="1"/>
  <c r="K54" i="5"/>
  <c r="F54" i="5" s="1"/>
  <c r="D255" i="3" s="1"/>
  <c r="K46" i="5"/>
  <c r="F46" i="5" s="1"/>
  <c r="F38" i="5"/>
  <c r="K30" i="5"/>
  <c r="F30" i="5" s="1"/>
  <c r="K22" i="5"/>
  <c r="F22" i="5" s="1"/>
  <c r="K14" i="5"/>
  <c r="F14" i="5" s="1"/>
  <c r="K6" i="5"/>
  <c r="F6" i="5" s="1"/>
  <c r="K23" i="5"/>
  <c r="F23" i="5" s="1"/>
  <c r="K89" i="5"/>
  <c r="F89" i="5" s="1"/>
  <c r="D290" i="3" s="1"/>
  <c r="K81" i="5"/>
  <c r="F81" i="5" s="1"/>
  <c r="D282" i="3" s="1"/>
  <c r="K73" i="5"/>
  <c r="F73" i="5" s="1"/>
  <c r="D274" i="3" s="1"/>
  <c r="K65" i="5"/>
  <c r="F65" i="5" s="1"/>
  <c r="D266" i="3" s="1"/>
  <c r="K57" i="5"/>
  <c r="F57" i="5" s="1"/>
  <c r="D258" i="3" s="1"/>
  <c r="F49" i="5"/>
  <c r="K41" i="5"/>
  <c r="F41" i="5" s="1"/>
  <c r="K33" i="5"/>
  <c r="F33" i="5" s="1"/>
  <c r="K25" i="5"/>
  <c r="F25" i="5" s="1"/>
  <c r="K17" i="5"/>
  <c r="F17" i="5" s="1"/>
  <c r="K9" i="5"/>
  <c r="F9" i="5" s="1"/>
  <c r="K7" i="5"/>
  <c r="F7" i="5" s="1"/>
  <c r="K92" i="5"/>
  <c r="F92" i="5" s="1"/>
  <c r="D293" i="3" s="1"/>
  <c r="K84" i="5"/>
  <c r="F84" i="5" s="1"/>
  <c r="D285" i="3" s="1"/>
  <c r="K76" i="5"/>
  <c r="F76" i="5" s="1"/>
  <c r="D277" i="3" s="1"/>
  <c r="K68" i="5"/>
  <c r="F68" i="5" s="1"/>
  <c r="D269" i="3" s="1"/>
  <c r="K60" i="5"/>
  <c r="F60" i="5" s="1"/>
  <c r="D261" i="3" s="1"/>
  <c r="K52" i="5"/>
  <c r="F52" i="5" s="1"/>
  <c r="D253" i="3" s="1"/>
  <c r="K44" i="5"/>
  <c r="F44" i="5" s="1"/>
  <c r="K36" i="5"/>
  <c r="F36" i="5" s="1"/>
  <c r="K28" i="5"/>
  <c r="F28" i="5" s="1"/>
  <c r="K20" i="5"/>
  <c r="F20" i="5" s="1"/>
  <c r="K12" i="5"/>
  <c r="F12" i="5" s="1"/>
  <c r="K39" i="5"/>
  <c r="F39" i="5" s="1"/>
  <c r="K26" i="5"/>
  <c r="F26" i="5" s="1"/>
  <c r="K58" i="5"/>
  <c r="F58" i="5" s="1"/>
  <c r="D259" i="3" s="1"/>
  <c r="K90" i="5"/>
  <c r="F90" i="5" s="1"/>
  <c r="D291" i="3" s="1"/>
  <c r="K5" i="5"/>
  <c r="F5" i="5" s="1"/>
  <c r="K37" i="5"/>
  <c r="F37" i="5" s="1"/>
  <c r="K69" i="5"/>
  <c r="F69" i="5" s="1"/>
  <c r="D270" i="3" s="1"/>
  <c r="O5" i="5" l="1"/>
  <c r="C46" i="1" s="1"/>
  <c r="K97" i="5"/>
  <c r="D237" i="3"/>
  <c r="D228" i="3"/>
  <c r="D222" i="3"/>
  <c r="D232" i="3"/>
  <c r="D218" i="3"/>
  <c r="D243" i="3"/>
  <c r="D247" i="3"/>
  <c r="D224" i="3"/>
  <c r="D234" i="3"/>
  <c r="D205" i="3"/>
  <c r="D236" i="3"/>
  <c r="D207" i="3"/>
  <c r="D230" i="3"/>
  <c r="D240" i="3"/>
  <c r="D242" i="3"/>
  <c r="D248" i="3"/>
  <c r="D217" i="3"/>
  <c r="D246" i="3"/>
  <c r="D211" i="3"/>
  <c r="D245" i="3"/>
  <c r="D244" i="3"/>
  <c r="D226" i="3"/>
  <c r="D225" i="3"/>
  <c r="D219" i="3"/>
  <c r="D213" i="3"/>
  <c r="D220" i="3"/>
  <c r="D209" i="3"/>
  <c r="D210" i="3"/>
  <c r="D239" i="3"/>
  <c r="D233" i="3"/>
  <c r="D223" i="3"/>
  <c r="D227" i="3"/>
  <c r="D208" i="3"/>
  <c r="D229" i="3"/>
  <c r="D204" i="3"/>
  <c r="D214" i="3"/>
  <c r="D221" i="3"/>
  <c r="D212" i="3"/>
  <c r="D241" i="3"/>
  <c r="D206" i="3"/>
  <c r="D235" i="3"/>
  <c r="D231" i="3"/>
  <c r="D216" i="3"/>
  <c r="O3" i="5"/>
  <c r="C41" i="1" s="1"/>
  <c r="D11" i="4"/>
  <c r="D12" i="4" s="1"/>
  <c r="D14" i="4" s="1"/>
  <c r="E46" i="1" l="1"/>
  <c r="H46" i="1" s="1"/>
  <c r="I46" i="1"/>
  <c r="C29" i="1"/>
  <c r="C26" i="1" s="1"/>
  <c r="K8" i="3"/>
  <c r="H41" i="1"/>
  <c r="F97" i="5"/>
  <c r="E103" i="5" s="1"/>
  <c r="B31" i="1" l="1"/>
  <c r="B33" i="1"/>
  <c r="C32" i="1"/>
  <c r="E32" i="1" s="1"/>
  <c r="H32" i="1" s="1"/>
  <c r="E29" i="1"/>
  <c r="H29" i="1" s="1"/>
  <c r="H260" i="3"/>
  <c r="H268" i="3"/>
  <c r="H276" i="3"/>
  <c r="H284" i="3"/>
  <c r="H292" i="3"/>
  <c r="H206" i="3"/>
  <c r="H214" i="3"/>
  <c r="H222" i="3"/>
  <c r="H238" i="3"/>
  <c r="H246" i="3"/>
  <c r="H273" i="3"/>
  <c r="H219" i="3"/>
  <c r="H243" i="3"/>
  <c r="H258" i="3"/>
  <c r="H212" i="3"/>
  <c r="H253" i="3"/>
  <c r="H261" i="3"/>
  <c r="H269" i="3"/>
  <c r="H277" i="3"/>
  <c r="H285" i="3"/>
  <c r="H293" i="3"/>
  <c r="H207" i="3"/>
  <c r="H215" i="3"/>
  <c r="H223" i="3"/>
  <c r="H231" i="3"/>
  <c r="H239" i="3"/>
  <c r="H247" i="3"/>
  <c r="H233" i="3"/>
  <c r="H265" i="3"/>
  <c r="H227" i="3"/>
  <c r="H274" i="3"/>
  <c r="H220" i="3"/>
  <c r="H254" i="3"/>
  <c r="H262" i="3"/>
  <c r="H270" i="3"/>
  <c r="H278" i="3"/>
  <c r="H286" i="3"/>
  <c r="H294" i="3"/>
  <c r="H208" i="3"/>
  <c r="H216" i="3"/>
  <c r="H224" i="3"/>
  <c r="H232" i="3"/>
  <c r="H240" i="3"/>
  <c r="H248" i="3"/>
  <c r="H225" i="3"/>
  <c r="H281" i="3"/>
  <c r="H236" i="3"/>
  <c r="H255" i="3"/>
  <c r="H263" i="3"/>
  <c r="H271" i="3"/>
  <c r="H279" i="3"/>
  <c r="H287" i="3"/>
  <c r="H295" i="3"/>
  <c r="H209" i="3"/>
  <c r="H217" i="3"/>
  <c r="H241" i="3"/>
  <c r="H249" i="3"/>
  <c r="H257" i="3"/>
  <c r="H211" i="3"/>
  <c r="H204" i="3"/>
  <c r="H282" i="3"/>
  <c r="H228" i="3"/>
  <c r="H256" i="3"/>
  <c r="H264" i="3"/>
  <c r="H272" i="3"/>
  <c r="H280" i="3"/>
  <c r="H288" i="3"/>
  <c r="H296" i="3"/>
  <c r="H210" i="3"/>
  <c r="H218" i="3"/>
  <c r="H226" i="3"/>
  <c r="H234" i="3"/>
  <c r="H242" i="3"/>
  <c r="H250" i="3"/>
  <c r="H297" i="3"/>
  <c r="H290" i="3"/>
  <c r="H244" i="3"/>
  <c r="H259" i="3"/>
  <c r="H267" i="3"/>
  <c r="H275" i="3"/>
  <c r="H283" i="3"/>
  <c r="H291" i="3"/>
  <c r="H205" i="3"/>
  <c r="H213" i="3"/>
  <c r="H221" i="3"/>
  <c r="H229" i="3"/>
  <c r="H237" i="3"/>
  <c r="H245" i="3"/>
  <c r="H230" i="3"/>
  <c r="H289" i="3"/>
  <c r="H235" i="3"/>
  <c r="H266" i="3"/>
  <c r="H252" i="3"/>
  <c r="I4" i="5"/>
  <c r="D298" i="3"/>
  <c r="F98" i="5"/>
  <c r="E104" i="5"/>
  <c r="G99" i="5" s="1"/>
  <c r="I82" i="5"/>
  <c r="I74" i="5"/>
  <c r="I18" i="5"/>
  <c r="I50" i="5"/>
  <c r="I77" i="5"/>
  <c r="I13" i="5"/>
  <c r="I26" i="5"/>
  <c r="I48" i="5"/>
  <c r="I95" i="5"/>
  <c r="I91" i="5"/>
  <c r="I83" i="5"/>
  <c r="I14" i="5"/>
  <c r="I89" i="5"/>
  <c r="I90" i="5"/>
  <c r="I32" i="5"/>
  <c r="I92" i="5"/>
  <c r="I73" i="5"/>
  <c r="I93" i="5"/>
  <c r="I8" i="5"/>
  <c r="I78" i="5"/>
  <c r="I21" i="5"/>
  <c r="I36" i="5"/>
  <c r="I96" i="5"/>
  <c r="I38" i="5"/>
  <c r="I35" i="5"/>
  <c r="I34" i="5"/>
  <c r="I86" i="5"/>
  <c r="I61" i="5"/>
  <c r="I28" i="5"/>
  <c r="I47" i="5"/>
  <c r="I46" i="5"/>
  <c r="I16" i="5"/>
  <c r="I88" i="5"/>
  <c r="I63" i="5"/>
  <c r="I20" i="5"/>
  <c r="I24" i="5"/>
  <c r="I19" i="5"/>
  <c r="I55" i="5"/>
  <c r="I52" i="5"/>
  <c r="I10" i="5"/>
  <c r="I64" i="5"/>
  <c r="I57" i="5"/>
  <c r="I31" i="5"/>
  <c r="I59" i="5"/>
  <c r="I41" i="5"/>
  <c r="I22" i="5"/>
  <c r="I87" i="5"/>
  <c r="I43" i="5"/>
  <c r="I67" i="5"/>
  <c r="I84" i="5"/>
  <c r="I51" i="5"/>
  <c r="I79" i="5"/>
  <c r="I49" i="5"/>
  <c r="I9" i="5"/>
  <c r="I17" i="5"/>
  <c r="I53" i="5"/>
  <c r="I69" i="5"/>
  <c r="I72" i="5"/>
  <c r="I45" i="5"/>
  <c r="I33" i="5"/>
  <c r="I7" i="5"/>
  <c r="I15" i="5"/>
  <c r="I65" i="5"/>
  <c r="I11" i="5"/>
  <c r="I37" i="5"/>
  <c r="I30" i="5"/>
  <c r="I71" i="5"/>
  <c r="I75" i="5"/>
  <c r="I40" i="5"/>
  <c r="I68" i="5"/>
  <c r="I42" i="5"/>
  <c r="I62" i="5"/>
  <c r="I66" i="5"/>
  <c r="I85" i="5"/>
  <c r="I81" i="5"/>
  <c r="I60" i="5"/>
  <c r="I76" i="5"/>
  <c r="I12" i="5"/>
  <c r="I54" i="5"/>
  <c r="I25" i="5"/>
  <c r="I56" i="5"/>
  <c r="I6" i="5"/>
  <c r="I80" i="5"/>
  <c r="I94" i="5"/>
  <c r="I58" i="5"/>
  <c r="I70" i="5"/>
  <c r="I29" i="5"/>
  <c r="I23" i="5"/>
  <c r="I44" i="5"/>
  <c r="I27" i="5"/>
  <c r="I39" i="5"/>
  <c r="I5" i="5"/>
  <c r="B32" i="1" l="1"/>
  <c r="C43" i="1"/>
  <c r="I43" i="1" s="1"/>
  <c r="I48" i="1" s="1"/>
  <c r="G43" i="1"/>
  <c r="G48" i="1" s="1"/>
  <c r="N93" i="3" s="1"/>
  <c r="H298" i="3"/>
  <c r="E43" i="1"/>
  <c r="E48" i="1" s="1"/>
  <c r="F106" i="5"/>
  <c r="G108" i="5" s="1"/>
  <c r="G55" i="5" s="1"/>
  <c r="C256" i="3" s="1"/>
  <c r="I97" i="5"/>
  <c r="H43" i="1" l="1"/>
  <c r="H48" i="1" s="1"/>
  <c r="C156" i="3"/>
  <c r="K156" i="3" s="1"/>
  <c r="G255" i="3" s="1"/>
  <c r="G84" i="5"/>
  <c r="C285" i="3" s="1"/>
  <c r="G68" i="5"/>
  <c r="C269" i="3" s="1"/>
  <c r="G24" i="5"/>
  <c r="G5" i="5"/>
  <c r="G9" i="5"/>
  <c r="G17" i="5"/>
  <c r="G76" i="5"/>
  <c r="C277" i="3" s="1"/>
  <c r="G59" i="5"/>
  <c r="C260" i="3" s="1"/>
  <c r="G32" i="5"/>
  <c r="G96" i="5"/>
  <c r="C297" i="3" s="1"/>
  <c r="G13" i="5"/>
  <c r="G77" i="5"/>
  <c r="C278" i="3" s="1"/>
  <c r="G34" i="5"/>
  <c r="G38" i="5"/>
  <c r="G63" i="5"/>
  <c r="C264" i="3" s="1"/>
  <c r="G60" i="5"/>
  <c r="C261" i="3" s="1"/>
  <c r="G43" i="5"/>
  <c r="G67" i="5"/>
  <c r="C268" i="3" s="1"/>
  <c r="G21" i="5"/>
  <c r="G85" i="5"/>
  <c r="C286" i="3" s="1"/>
  <c r="G42" i="5"/>
  <c r="G78" i="5"/>
  <c r="C279" i="3" s="1"/>
  <c r="G71" i="5"/>
  <c r="C272" i="3" s="1"/>
  <c r="G25" i="5"/>
  <c r="G73" i="5"/>
  <c r="C274" i="3" s="1"/>
  <c r="G81" i="5"/>
  <c r="C282" i="3" s="1"/>
  <c r="G11" i="5"/>
  <c r="G75" i="5"/>
  <c r="C276" i="3" s="1"/>
  <c r="G48" i="5"/>
  <c r="G14" i="5"/>
  <c r="G29" i="5"/>
  <c r="G93" i="5"/>
  <c r="C294" i="3" s="1"/>
  <c r="G50" i="5"/>
  <c r="C250" i="3" s="1"/>
  <c r="G86" i="5"/>
  <c r="C287" i="3" s="1"/>
  <c r="G79" i="5"/>
  <c r="C280" i="3" s="1"/>
  <c r="G94" i="5"/>
  <c r="C295" i="3" s="1"/>
  <c r="G41" i="5"/>
  <c r="G40" i="5"/>
  <c r="G89" i="5"/>
  <c r="C290" i="3" s="1"/>
  <c r="G56" i="5"/>
  <c r="C257" i="3" s="1"/>
  <c r="G58" i="5"/>
  <c r="C259" i="3" s="1"/>
  <c r="G7" i="5"/>
  <c r="G87" i="5"/>
  <c r="C288" i="3" s="1"/>
  <c r="G36" i="5"/>
  <c r="G16" i="5"/>
  <c r="G61" i="5"/>
  <c r="C262" i="3" s="1"/>
  <c r="G49" i="5"/>
  <c r="C249" i="3" s="1"/>
  <c r="G22" i="5"/>
  <c r="G6" i="5"/>
  <c r="G57" i="5"/>
  <c r="C258" i="3" s="1"/>
  <c r="G19" i="5"/>
  <c r="G30" i="5"/>
  <c r="G37" i="5"/>
  <c r="G52" i="5"/>
  <c r="C253" i="3" s="1"/>
  <c r="G33" i="5"/>
  <c r="G20" i="5"/>
  <c r="G27" i="5"/>
  <c r="G91" i="5"/>
  <c r="C292" i="3" s="1"/>
  <c r="G64" i="5"/>
  <c r="C265" i="3" s="1"/>
  <c r="G54" i="5"/>
  <c r="C255" i="3" s="1"/>
  <c r="G45" i="5"/>
  <c r="G70" i="5"/>
  <c r="C271" i="3" s="1"/>
  <c r="G66" i="5"/>
  <c r="C267" i="3" s="1"/>
  <c r="G15" i="5"/>
  <c r="G95" i="5"/>
  <c r="C296" i="3" s="1"/>
  <c r="G83" i="5"/>
  <c r="C284" i="3" s="1"/>
  <c r="G46" i="5"/>
  <c r="G28" i="5"/>
  <c r="G4" i="5"/>
  <c r="G65" i="5"/>
  <c r="C266" i="3" s="1"/>
  <c r="G35" i="5"/>
  <c r="G8" i="5"/>
  <c r="G72" i="5"/>
  <c r="C273" i="3" s="1"/>
  <c r="G62" i="5"/>
  <c r="C263" i="3" s="1"/>
  <c r="G53" i="5"/>
  <c r="C254" i="3" s="1"/>
  <c r="G10" i="5"/>
  <c r="G74" i="5"/>
  <c r="C275" i="3" s="1"/>
  <c r="G23" i="5"/>
  <c r="G12" i="5"/>
  <c r="G80" i="5"/>
  <c r="C281" i="3" s="1"/>
  <c r="G18" i="5"/>
  <c r="G82" i="5"/>
  <c r="C283" i="3" s="1"/>
  <c r="G31" i="5"/>
  <c r="G92" i="5"/>
  <c r="C293" i="3" s="1"/>
  <c r="G44" i="5"/>
  <c r="G51" i="5"/>
  <c r="G88" i="5"/>
  <c r="C289" i="3" s="1"/>
  <c r="G69" i="5"/>
  <c r="C270" i="3" s="1"/>
  <c r="G26" i="5"/>
  <c r="G90" i="5"/>
  <c r="C291" i="3" s="1"/>
  <c r="G39" i="5"/>
  <c r="G47" i="5"/>
  <c r="C152" i="3" l="1"/>
  <c r="K152" i="3" s="1"/>
  <c r="C252" i="3"/>
  <c r="C171" i="3"/>
  <c r="K171" i="3" s="1"/>
  <c r="G270" i="3" s="1"/>
  <c r="C179" i="3"/>
  <c r="K179" i="3" s="1"/>
  <c r="G278" i="3" s="1"/>
  <c r="C217" i="3"/>
  <c r="C118" i="3"/>
  <c r="K118" i="3" s="1"/>
  <c r="G217" i="3" s="1"/>
  <c r="C175" i="3"/>
  <c r="K175" i="3" s="1"/>
  <c r="G274" i="3" s="1"/>
  <c r="C245" i="3"/>
  <c r="C146" i="3"/>
  <c r="K146" i="3" s="1"/>
  <c r="G245" i="3" s="1"/>
  <c r="C237" i="3"/>
  <c r="C138" i="3"/>
  <c r="K138" i="3" s="1"/>
  <c r="G237" i="3" s="1"/>
  <c r="C216" i="3"/>
  <c r="C117" i="3"/>
  <c r="K117" i="3" s="1"/>
  <c r="G216" i="3" s="1"/>
  <c r="C241" i="3"/>
  <c r="C142" i="3"/>
  <c r="K142" i="3" s="1"/>
  <c r="G241" i="3" s="1"/>
  <c r="C248" i="3"/>
  <c r="C149" i="3"/>
  <c r="K149" i="3" s="1"/>
  <c r="G248" i="3" s="1"/>
  <c r="C242" i="3"/>
  <c r="C143" i="3"/>
  <c r="K143" i="3" s="1"/>
  <c r="G242" i="3" s="1"/>
  <c r="C234" i="3"/>
  <c r="C135" i="3"/>
  <c r="K135" i="3" s="1"/>
  <c r="G234" i="3" s="1"/>
  <c r="C209" i="3"/>
  <c r="C110" i="3"/>
  <c r="K110" i="3" s="1"/>
  <c r="G209" i="3" s="1"/>
  <c r="C166" i="3"/>
  <c r="K166" i="3" s="1"/>
  <c r="G265" i="3" s="1"/>
  <c r="C214" i="3"/>
  <c r="C115" i="3"/>
  <c r="K115" i="3" s="1"/>
  <c r="G214" i="3" s="1"/>
  <c r="C238" i="3"/>
  <c r="C139" i="3"/>
  <c r="K139" i="3" s="1"/>
  <c r="G238" i="3" s="1"/>
  <c r="C244" i="3"/>
  <c r="C145" i="3"/>
  <c r="K145" i="3" s="1"/>
  <c r="G244" i="3" s="1"/>
  <c r="C204" i="3"/>
  <c r="C105" i="3"/>
  <c r="K105" i="3" s="1"/>
  <c r="G204" i="3" s="1"/>
  <c r="C247" i="3"/>
  <c r="C148" i="3"/>
  <c r="K148" i="3" s="1"/>
  <c r="G247" i="3" s="1"/>
  <c r="C193" i="3"/>
  <c r="K193" i="3" s="1"/>
  <c r="G292" i="3" s="1"/>
  <c r="C210" i="3"/>
  <c r="C111" i="3"/>
  <c r="K111" i="3" s="1"/>
  <c r="G210" i="3" s="1"/>
  <c r="C228" i="3"/>
  <c r="C129" i="3"/>
  <c r="K129" i="3" s="1"/>
  <c r="G228" i="3" s="1"/>
  <c r="C155" i="3"/>
  <c r="K155" i="3" s="1"/>
  <c r="G254" i="3" s="1"/>
  <c r="C230" i="3"/>
  <c r="C131" i="3"/>
  <c r="K131" i="3" s="1"/>
  <c r="G230" i="3" s="1"/>
  <c r="C236" i="3"/>
  <c r="C137" i="3"/>
  <c r="K137" i="3" s="1"/>
  <c r="G236" i="3" s="1"/>
  <c r="C195" i="3"/>
  <c r="K195" i="3" s="1"/>
  <c r="G294" i="3" s="1"/>
  <c r="C176" i="3"/>
  <c r="K176" i="3" s="1"/>
  <c r="G275" i="3" s="1"/>
  <c r="C186" i="3"/>
  <c r="K186" i="3" s="1"/>
  <c r="G285" i="3" s="1"/>
  <c r="C178" i="3"/>
  <c r="K178" i="3" s="1"/>
  <c r="G277" i="3" s="1"/>
  <c r="C205" i="3"/>
  <c r="C106" i="3"/>
  <c r="K106" i="3" s="1"/>
  <c r="G205" i="3" s="1"/>
  <c r="C165" i="3"/>
  <c r="K165" i="3" s="1"/>
  <c r="G264" i="3" s="1"/>
  <c r="C211" i="3"/>
  <c r="C112" i="3"/>
  <c r="K112" i="3" s="1"/>
  <c r="G211" i="3" s="1"/>
  <c r="C184" i="3"/>
  <c r="K184" i="3" s="1"/>
  <c r="G283" i="3" s="1"/>
  <c r="C207" i="3"/>
  <c r="C108" i="3"/>
  <c r="K108" i="3" s="1"/>
  <c r="G207" i="3" s="1"/>
  <c r="C187" i="3"/>
  <c r="K187" i="3" s="1"/>
  <c r="G286" i="3" s="1"/>
  <c r="C182" i="3"/>
  <c r="K182" i="3" s="1"/>
  <c r="G281" i="3" s="1"/>
  <c r="C168" i="3"/>
  <c r="K168" i="3" s="1"/>
  <c r="G267" i="3" s="1"/>
  <c r="C197" i="3"/>
  <c r="K197" i="3" s="1"/>
  <c r="G296" i="3" s="1"/>
  <c r="C169" i="3"/>
  <c r="K169" i="3" s="1"/>
  <c r="G268" i="3" s="1"/>
  <c r="C162" i="3"/>
  <c r="K162" i="3" s="1"/>
  <c r="G261" i="3" s="1"/>
  <c r="C246" i="3"/>
  <c r="C147" i="3"/>
  <c r="K147" i="3" s="1"/>
  <c r="G246" i="3" s="1"/>
  <c r="C221" i="3"/>
  <c r="C122" i="3"/>
  <c r="K122" i="3" s="1"/>
  <c r="G221" i="3" s="1"/>
  <c r="C191" i="3"/>
  <c r="K191" i="3" s="1"/>
  <c r="G290" i="3" s="1"/>
  <c r="C226" i="3"/>
  <c r="C127" i="3"/>
  <c r="K127" i="3" s="1"/>
  <c r="G226" i="3" s="1"/>
  <c r="C227" i="3"/>
  <c r="C128" i="3"/>
  <c r="K128" i="3" s="1"/>
  <c r="G227" i="3" s="1"/>
  <c r="C159" i="3"/>
  <c r="K159" i="3" s="1"/>
  <c r="G258" i="3" s="1"/>
  <c r="C174" i="3"/>
  <c r="K174" i="3" s="1"/>
  <c r="G273" i="3" s="1"/>
  <c r="C243" i="3"/>
  <c r="C144" i="3"/>
  <c r="K144" i="3" s="1"/>
  <c r="G243" i="3" s="1"/>
  <c r="C232" i="3"/>
  <c r="C133" i="3"/>
  <c r="K133" i="3" s="1"/>
  <c r="G232" i="3" s="1"/>
  <c r="C185" i="3"/>
  <c r="K185" i="3" s="1"/>
  <c r="G284" i="3" s="1"/>
  <c r="C153" i="3"/>
  <c r="K153" i="3" s="1"/>
  <c r="G252" i="3" s="1"/>
  <c r="C239" i="3"/>
  <c r="C140" i="3"/>
  <c r="K140" i="3" s="1"/>
  <c r="G239" i="3" s="1"/>
  <c r="C154" i="3"/>
  <c r="K154" i="3" s="1"/>
  <c r="G253" i="3" s="1"/>
  <c r="C188" i="3"/>
  <c r="K188" i="3" s="1"/>
  <c r="G287" i="3" s="1"/>
  <c r="C224" i="3"/>
  <c r="C125" i="3"/>
  <c r="K125" i="3" s="1"/>
  <c r="G224" i="3" s="1"/>
  <c r="C183" i="3"/>
  <c r="K183" i="3" s="1"/>
  <c r="G282" i="3" s="1"/>
  <c r="C192" i="3"/>
  <c r="K192" i="3" s="1"/>
  <c r="G291" i="3" s="1"/>
  <c r="C218" i="3"/>
  <c r="C119" i="3"/>
  <c r="K119" i="3" s="1"/>
  <c r="G218" i="3" s="1"/>
  <c r="C196" i="3"/>
  <c r="K196" i="3" s="1"/>
  <c r="G295" i="3" s="1"/>
  <c r="C206" i="3"/>
  <c r="C107" i="3"/>
  <c r="K107" i="3" s="1"/>
  <c r="G206" i="3" s="1"/>
  <c r="C170" i="3"/>
  <c r="K170" i="3" s="1"/>
  <c r="G269" i="3" s="1"/>
  <c r="C181" i="3"/>
  <c r="K181" i="3" s="1"/>
  <c r="G280" i="3" s="1"/>
  <c r="C208" i="3"/>
  <c r="C109" i="3"/>
  <c r="K109" i="3" s="1"/>
  <c r="G208" i="3" s="1"/>
  <c r="C215" i="3"/>
  <c r="C116" i="3"/>
  <c r="K116" i="3" s="1"/>
  <c r="G215" i="3" s="1"/>
  <c r="C220" i="3"/>
  <c r="C121" i="3"/>
  <c r="K121" i="3" s="1"/>
  <c r="G220" i="3" s="1"/>
  <c r="C222" i="3"/>
  <c r="C123" i="3"/>
  <c r="K123" i="3" s="1"/>
  <c r="G222" i="3" s="1"/>
  <c r="C157" i="3"/>
  <c r="K157" i="3" s="1"/>
  <c r="G256" i="3" s="1"/>
  <c r="P5" i="5"/>
  <c r="C22" i="1" s="1"/>
  <c r="C194" i="3"/>
  <c r="K194" i="3" s="1"/>
  <c r="G293" i="3" s="1"/>
  <c r="C225" i="3"/>
  <c r="C126" i="3"/>
  <c r="K126" i="3" s="1"/>
  <c r="G225" i="3" s="1"/>
  <c r="C161" i="3"/>
  <c r="K161" i="3" s="1"/>
  <c r="G260" i="3" s="1"/>
  <c r="C160" i="3"/>
  <c r="K160" i="3" s="1"/>
  <c r="G259" i="3" s="1"/>
  <c r="C223" i="3"/>
  <c r="C124" i="3"/>
  <c r="K124" i="3" s="1"/>
  <c r="G223" i="3" s="1"/>
  <c r="C240" i="3"/>
  <c r="C141" i="3"/>
  <c r="K141" i="3" s="1"/>
  <c r="G240" i="3" s="1"/>
  <c r="C231" i="3"/>
  <c r="C132" i="3"/>
  <c r="K132" i="3" s="1"/>
  <c r="G231" i="3" s="1"/>
  <c r="C219" i="3"/>
  <c r="C120" i="3"/>
  <c r="K120" i="3" s="1"/>
  <c r="G219" i="3" s="1"/>
  <c r="C180" i="3"/>
  <c r="K180" i="3" s="1"/>
  <c r="G279" i="3" s="1"/>
  <c r="C213" i="3"/>
  <c r="C114" i="3"/>
  <c r="K114" i="3" s="1"/>
  <c r="G213" i="3" s="1"/>
  <c r="C163" i="3"/>
  <c r="K163" i="3" s="1"/>
  <c r="G262" i="3" s="1"/>
  <c r="C158" i="3"/>
  <c r="K158" i="3" s="1"/>
  <c r="G257" i="3" s="1"/>
  <c r="C173" i="3"/>
  <c r="K173" i="3" s="1"/>
  <c r="G272" i="3" s="1"/>
  <c r="C189" i="3"/>
  <c r="K189" i="3" s="1"/>
  <c r="G288" i="3" s="1"/>
  <c r="C212" i="3"/>
  <c r="C113" i="3"/>
  <c r="K113" i="3" s="1"/>
  <c r="G212" i="3" s="1"/>
  <c r="C235" i="3"/>
  <c r="C136" i="3"/>
  <c r="K136" i="3" s="1"/>
  <c r="G235" i="3" s="1"/>
  <c r="C167" i="3"/>
  <c r="K167" i="3" s="1"/>
  <c r="G266" i="3" s="1"/>
  <c r="C233" i="3"/>
  <c r="C134" i="3"/>
  <c r="K134" i="3" s="1"/>
  <c r="G233" i="3" s="1"/>
  <c r="C190" i="3"/>
  <c r="K190" i="3" s="1"/>
  <c r="G289" i="3" s="1"/>
  <c r="C229" i="3"/>
  <c r="C130" i="3"/>
  <c r="K130" i="3" s="1"/>
  <c r="G229" i="3" s="1"/>
  <c r="C172" i="3"/>
  <c r="K172" i="3" s="1"/>
  <c r="G271" i="3" s="1"/>
  <c r="C164" i="3"/>
  <c r="K164" i="3" s="1"/>
  <c r="G263" i="3" s="1"/>
  <c r="C177" i="3"/>
  <c r="K177" i="3" s="1"/>
  <c r="G276" i="3" s="1"/>
  <c r="G97" i="5"/>
  <c r="P3" i="5"/>
  <c r="C15" i="1" s="1"/>
  <c r="E15" i="1" s="1"/>
  <c r="G21" i="6" l="1"/>
  <c r="N21" i="6" s="1"/>
  <c r="I22" i="1"/>
  <c r="H108" i="5"/>
  <c r="G98" i="5"/>
  <c r="C298" i="3"/>
  <c r="C200" i="3"/>
  <c r="C198" i="3"/>
  <c r="K198" i="3" s="1"/>
  <c r="G297" i="3" s="1"/>
  <c r="E22" i="1"/>
  <c r="H22" i="1" s="1"/>
  <c r="H30" i="5"/>
  <c r="H60" i="5"/>
  <c r="H31" i="5"/>
  <c r="H41" i="5"/>
  <c r="H94" i="5"/>
  <c r="H12" i="5"/>
  <c r="H33" i="5"/>
  <c r="H16" i="5"/>
  <c r="H13" i="5"/>
  <c r="H6" i="5"/>
  <c r="H80" i="5"/>
  <c r="H8" i="5"/>
  <c r="H34" i="5"/>
  <c r="H43" i="5"/>
  <c r="H14" i="5"/>
  <c r="H15" i="5"/>
  <c r="H75" i="5"/>
  <c r="H57" i="5"/>
  <c r="H51" i="5"/>
  <c r="H9" i="5"/>
  <c r="H36" i="5"/>
  <c r="H78" i="5"/>
  <c r="H29" i="5"/>
  <c r="H37" i="5"/>
  <c r="H48" i="5"/>
  <c r="H44" i="5"/>
  <c r="H5" i="5"/>
  <c r="H92" i="5"/>
  <c r="H39" i="5"/>
  <c r="H86" i="5"/>
  <c r="H18" i="5"/>
  <c r="H38" i="5"/>
  <c r="H46" i="5"/>
  <c r="H22" i="5"/>
  <c r="H50" i="5"/>
  <c r="H87" i="5"/>
  <c r="H69" i="5"/>
  <c r="H11" i="5"/>
  <c r="H19" i="5"/>
  <c r="H10" i="5"/>
  <c r="H55" i="5"/>
  <c r="H52" i="5"/>
  <c r="H64" i="5"/>
  <c r="H62" i="5"/>
  <c r="H89" i="5"/>
  <c r="H35" i="5"/>
  <c r="H47" i="5"/>
  <c r="H54" i="5"/>
  <c r="H42" i="5"/>
  <c r="H65" i="5"/>
  <c r="H59" i="5"/>
  <c r="H53" i="5"/>
  <c r="H28" i="5"/>
  <c r="H67" i="5"/>
  <c r="H21" i="5"/>
  <c r="H71" i="5"/>
  <c r="H83" i="5"/>
  <c r="H20" i="5"/>
  <c r="H91" i="5"/>
  <c r="H32" i="5"/>
  <c r="H84" i="5"/>
  <c r="H24" i="5"/>
  <c r="H68" i="5"/>
  <c r="H63" i="5"/>
  <c r="H70" i="5"/>
  <c r="H72" i="5"/>
  <c r="H82" i="5"/>
  <c r="H17" i="5"/>
  <c r="H58" i="5"/>
  <c r="H74" i="5"/>
  <c r="H27" i="5"/>
  <c r="H56" i="5"/>
  <c r="H73" i="5"/>
  <c r="H4" i="5"/>
  <c r="H45" i="5"/>
  <c r="H25" i="5"/>
  <c r="H79" i="5"/>
  <c r="H88" i="5"/>
  <c r="H26" i="5"/>
  <c r="H95" i="5"/>
  <c r="H66" i="5"/>
  <c r="H85" i="5"/>
  <c r="H93" i="5"/>
  <c r="H76" i="5"/>
  <c r="H90" i="5"/>
  <c r="H61" i="5"/>
  <c r="H49" i="5"/>
  <c r="H96" i="5"/>
  <c r="H77" i="5"/>
  <c r="H7" i="5"/>
  <c r="H23" i="5"/>
  <c r="H81" i="5"/>
  <c r="H40" i="5"/>
  <c r="C10" i="1" l="1"/>
  <c r="C12" i="1" s="1"/>
  <c r="C4" i="1"/>
  <c r="C6" i="1" s="1"/>
  <c r="C199" i="3"/>
  <c r="K199" i="3" s="1"/>
  <c r="G298" i="3" s="1"/>
  <c r="H97" i="5"/>
  <c r="K200" i="3" l="1"/>
  <c r="B20" i="1"/>
  <c r="C21" i="1"/>
  <c r="I21" i="1" s="1"/>
  <c r="C2" i="1"/>
  <c r="C1" i="1"/>
  <c r="E4" i="1"/>
  <c r="C5" i="1"/>
  <c r="E5" i="1" s="1"/>
  <c r="C7" i="1"/>
  <c r="C11" i="1"/>
  <c r="E11" i="1" s="1"/>
  <c r="E10" i="1"/>
  <c r="C13" i="1"/>
  <c r="E13" i="1" s="1"/>
  <c r="E6" i="1"/>
  <c r="E12" i="1"/>
  <c r="C20" i="1"/>
  <c r="I20" i="1" s="1"/>
  <c r="C19" i="1" l="1"/>
  <c r="H4" i="1"/>
  <c r="E7" i="1"/>
  <c r="E53" i="1" s="1"/>
  <c r="C17" i="1"/>
  <c r="I17" i="1" s="1"/>
  <c r="G21" i="1"/>
  <c r="E21" i="1"/>
  <c r="E20" i="1"/>
  <c r="G20" i="1"/>
  <c r="C3" i="7" l="1"/>
  <c r="A2" i="3"/>
  <c r="B2" i="3" s="1"/>
  <c r="I65" i="3" s="1"/>
  <c r="F65" i="3" s="1"/>
  <c r="C11" i="7" s="1"/>
  <c r="I19" i="1"/>
  <c r="G19" i="1"/>
  <c r="H21" i="1"/>
  <c r="E19" i="1"/>
  <c r="H19" i="1" s="1"/>
  <c r="G17" i="1"/>
  <c r="E17" i="1"/>
  <c r="H20" i="1"/>
  <c r="C44" i="1"/>
  <c r="H38" i="1"/>
  <c r="H37" i="1"/>
  <c r="H36" i="1"/>
  <c r="H31" i="1"/>
  <c r="H30" i="1"/>
  <c r="H15" i="1"/>
  <c r="H13" i="1"/>
  <c r="H12" i="1"/>
  <c r="H11" i="1"/>
  <c r="H10" i="1"/>
  <c r="H5" i="1"/>
  <c r="H6" i="1"/>
  <c r="H7" i="1"/>
  <c r="C18" i="1"/>
  <c r="C24" i="1" l="1"/>
  <c r="I18" i="1"/>
  <c r="I24" i="1" s="1"/>
  <c r="H17" i="1"/>
  <c r="G18" i="1"/>
  <c r="G24" i="1" s="1"/>
  <c r="N91" i="3" s="1"/>
  <c r="E18" i="1"/>
  <c r="C48" i="1"/>
  <c r="B10" i="1"/>
  <c r="B27" i="4" l="1"/>
  <c r="B24" i="4" s="1"/>
  <c r="N95" i="3"/>
  <c r="E54" i="1"/>
  <c r="B26" i="4"/>
  <c r="B32" i="4" s="1"/>
  <c r="B25" i="4"/>
  <c r="B37" i="4" s="1"/>
  <c r="O91" i="3"/>
  <c r="M204" i="3"/>
  <c r="M298" i="3"/>
  <c r="M297" i="3"/>
  <c r="M212" i="3"/>
  <c r="M270" i="3"/>
  <c r="M224" i="3"/>
  <c r="M263" i="3"/>
  <c r="M226" i="3"/>
  <c r="M292" i="3"/>
  <c r="M257" i="3"/>
  <c r="M273" i="3"/>
  <c r="M296" i="3"/>
  <c r="M220" i="3"/>
  <c r="M246" i="3"/>
  <c r="M234" i="3"/>
  <c r="M262" i="3"/>
  <c r="M229" i="3"/>
  <c r="M215" i="3"/>
  <c r="M211" i="3"/>
  <c r="M289" i="3"/>
  <c r="M271" i="3"/>
  <c r="M217" i="3"/>
  <c r="M252" i="3"/>
  <c r="M287" i="3"/>
  <c r="M228" i="3"/>
  <c r="M245" i="3"/>
  <c r="M207" i="3"/>
  <c r="M279" i="3"/>
  <c r="M254" i="3"/>
  <c r="M264" i="3"/>
  <c r="M240" i="3"/>
  <c r="M239" i="3"/>
  <c r="M243" i="3"/>
  <c r="M288" i="3"/>
  <c r="M221" i="3"/>
  <c r="M260" i="3"/>
  <c r="M269" i="3"/>
  <c r="M266" i="3"/>
  <c r="M272" i="3"/>
  <c r="M278" i="3"/>
  <c r="M248" i="3"/>
  <c r="M222" i="3"/>
  <c r="M285" i="3"/>
  <c r="M284" i="3"/>
  <c r="M232" i="3"/>
  <c r="M223" i="3"/>
  <c r="M290" i="3"/>
  <c r="M216" i="3"/>
  <c r="M231" i="3"/>
  <c r="M261" i="3"/>
  <c r="M256" i="3"/>
  <c r="M210" i="3"/>
  <c r="M291" i="3"/>
  <c r="M236" i="3"/>
  <c r="M282" i="3"/>
  <c r="M293" i="3"/>
  <c r="M218" i="3"/>
  <c r="M265" i="3"/>
  <c r="M247" i="3"/>
  <c r="M253" i="3"/>
  <c r="M238" i="3"/>
  <c r="M267" i="3"/>
  <c r="M276" i="3"/>
  <c r="M274" i="3"/>
  <c r="M275" i="3"/>
  <c r="M249" i="3"/>
  <c r="M280" i="3"/>
  <c r="M277" i="3"/>
  <c r="M209" i="3"/>
  <c r="M250" i="3"/>
  <c r="M213" i="3"/>
  <c r="M233" i="3"/>
  <c r="M237" i="3"/>
  <c r="M258" i="3"/>
  <c r="M227" i="3"/>
  <c r="M281" i="3"/>
  <c r="M242" i="3"/>
  <c r="M219" i="3"/>
  <c r="M283" i="3"/>
  <c r="M286" i="3"/>
  <c r="M214" i="3"/>
  <c r="M259" i="3"/>
  <c r="M295" i="3"/>
  <c r="M225" i="3"/>
  <c r="M208" i="3"/>
  <c r="M205" i="3"/>
  <c r="M244" i="3"/>
  <c r="M230" i="3"/>
  <c r="M241" i="3"/>
  <c r="M294" i="3"/>
  <c r="M268" i="3"/>
  <c r="M235" i="3"/>
  <c r="M255" i="3"/>
  <c r="M206" i="3"/>
  <c r="H18" i="1"/>
  <c r="H24" i="1" s="1"/>
  <c r="H51" i="1" s="1"/>
  <c r="G51" i="1"/>
  <c r="E55" i="1" s="1"/>
  <c r="C5" i="7" l="1"/>
  <c r="C4" i="7"/>
  <c r="F54" i="1"/>
  <c r="F55" i="1" s="1"/>
  <c r="F57" i="1" s="1"/>
  <c r="A4" i="3"/>
  <c r="B4" i="3" s="1"/>
  <c r="A6" i="3"/>
  <c r="B6" i="3" s="1"/>
  <c r="E24" i="1"/>
  <c r="E25" i="1" s="1"/>
  <c r="F25" i="1" s="1"/>
  <c r="N4" i="3" s="1"/>
  <c r="G56" i="1" l="1"/>
  <c r="G53" i="1"/>
  <c r="G54" i="1"/>
  <c r="G55" i="1"/>
  <c r="B35" i="1"/>
  <c r="B30" i="1"/>
  <c r="B29" i="1" s="1"/>
  <c r="G57" i="1" l="1"/>
  <c r="E51" i="1"/>
  <c r="E49" i="1"/>
  <c r="H35" i="1"/>
  <c r="F51" i="1" l="1"/>
  <c r="K4" i="3" s="1"/>
  <c r="F49" i="1"/>
  <c r="M4" i="3" s="1"/>
  <c r="O4" i="3" l="1"/>
  <c r="M77" i="3"/>
  <c r="M83" i="3" s="1"/>
  <c r="K6" i="3"/>
  <c r="M84" i="3" l="1"/>
  <c r="F215" i="3" s="1"/>
  <c r="F289" i="3" l="1"/>
  <c r="F239" i="3"/>
  <c r="F256" i="3"/>
  <c r="F286" i="3"/>
  <c r="F282" i="3"/>
  <c r="F221" i="3"/>
  <c r="F245" i="3"/>
  <c r="F253" i="3"/>
  <c r="F252" i="3"/>
  <c r="F293" i="3"/>
  <c r="F246" i="3"/>
  <c r="F297" i="3"/>
  <c r="F267" i="3"/>
  <c r="F223" i="3"/>
  <c r="F216" i="3"/>
  <c r="F295" i="3"/>
  <c r="F274" i="3"/>
  <c r="F207" i="3"/>
  <c r="F222" i="3"/>
  <c r="F268" i="3"/>
  <c r="F272" i="3"/>
  <c r="F259" i="3"/>
  <c r="F227" i="3"/>
  <c r="F230" i="3"/>
  <c r="F287" i="3"/>
  <c r="F255" i="3"/>
  <c r="F213" i="3"/>
  <c r="F258" i="3"/>
  <c r="F279" i="3"/>
  <c r="F294" i="3"/>
  <c r="F214" i="3"/>
  <c r="F212" i="3"/>
  <c r="F273" i="3"/>
  <c r="F225" i="3"/>
  <c r="F280" i="3"/>
  <c r="F266" i="3"/>
  <c r="F238" i="3"/>
  <c r="F232" i="3"/>
  <c r="F270" i="3"/>
  <c r="F257" i="3"/>
  <c r="F220" i="3"/>
  <c r="F278" i="3"/>
  <c r="F269" i="3"/>
  <c r="F234" i="3"/>
  <c r="F224" i="3"/>
  <c r="F209" i="3"/>
  <c r="F235" i="3"/>
  <c r="F250" i="3"/>
  <c r="F237" i="3"/>
  <c r="F265" i="3"/>
  <c r="F218" i="3"/>
  <c r="F283" i="3"/>
  <c r="F277" i="3"/>
  <c r="F285" i="3"/>
  <c r="F249" i="3"/>
  <c r="F254" i="3"/>
  <c r="F236" i="3"/>
  <c r="F262" i="3"/>
  <c r="F242" i="3"/>
  <c r="F226" i="3"/>
  <c r="F219" i="3"/>
  <c r="F275" i="3"/>
  <c r="F263" i="3"/>
  <c r="F260" i="3"/>
  <c r="F264" i="3"/>
  <c r="F211" i="3"/>
  <c r="F217" i="3"/>
  <c r="F205" i="3"/>
  <c r="F243" i="3"/>
  <c r="F291" i="3"/>
  <c r="F271" i="3"/>
  <c r="F241" i="3"/>
  <c r="F247" i="3"/>
  <c r="F240" i="3"/>
  <c r="F233" i="3"/>
  <c r="F281" i="3"/>
  <c r="F290" i="3"/>
  <c r="F292" i="3"/>
  <c r="F244" i="3"/>
  <c r="F288" i="3"/>
  <c r="F231" i="3"/>
  <c r="F284" i="3"/>
  <c r="F248" i="3"/>
  <c r="F261" i="3"/>
  <c r="F210" i="3"/>
  <c r="F208" i="3"/>
  <c r="F228" i="3"/>
  <c r="F296" i="3"/>
  <c r="F298" i="3"/>
  <c r="F204" i="3"/>
  <c r="F276" i="3"/>
  <c r="F229" i="3"/>
  <c r="F206" i="3"/>
  <c r="K48" i="3"/>
  <c r="C87" i="3" s="1"/>
  <c r="G69" i="3"/>
  <c r="F76" i="3" l="1"/>
  <c r="C7" i="7"/>
  <c r="N69" i="3"/>
  <c r="C88" i="3"/>
  <c r="G76" i="3"/>
  <c r="F71" i="3" l="1"/>
  <c r="G71" i="3" s="1"/>
  <c r="C9" i="7" s="1"/>
  <c r="B31" i="4"/>
  <c r="B33" i="4" s="1"/>
  <c r="I300" i="3"/>
  <c r="N81" i="3"/>
  <c r="N76" i="3"/>
  <c r="F10" i="4"/>
  <c r="C13" i="7" l="1"/>
  <c r="B38" i="4"/>
  <c r="B39" i="4" s="1"/>
  <c r="C80" i="3"/>
  <c r="C89" i="3" s="1"/>
  <c r="H80" i="3" s="1"/>
  <c r="F9" i="4"/>
  <c r="N71" i="3"/>
  <c r="N77" i="3" s="1"/>
  <c r="D11" i="7" l="1"/>
  <c r="D6" i="7"/>
  <c r="D10" i="7"/>
  <c r="D8" i="7"/>
  <c r="D3" i="7"/>
  <c r="D4" i="7"/>
  <c r="D5" i="7"/>
  <c r="D7" i="7"/>
  <c r="D9" i="7"/>
  <c r="N83" i="3"/>
  <c r="N84" i="3" s="1"/>
  <c r="E287" i="3" s="1"/>
  <c r="I287" i="3" s="1"/>
  <c r="L287" i="3" s="1"/>
  <c r="N287" i="3" s="1"/>
  <c r="H81" i="3"/>
  <c r="D13" i="7" l="1"/>
  <c r="E296" i="3"/>
  <c r="I296" i="3" s="1"/>
  <c r="L296" i="3" s="1"/>
  <c r="N296" i="3" s="1"/>
  <c r="E282" i="3"/>
  <c r="I282" i="3" s="1"/>
  <c r="L282" i="3" s="1"/>
  <c r="N282" i="3" s="1"/>
  <c r="E235" i="3"/>
  <c r="I235" i="3" s="1"/>
  <c r="L235" i="3" s="1"/>
  <c r="N235" i="3" s="1"/>
  <c r="E265" i="3"/>
  <c r="I265" i="3" s="1"/>
  <c r="L265" i="3" s="1"/>
  <c r="N265" i="3" s="1"/>
  <c r="E209" i="3"/>
  <c r="I209" i="3" s="1"/>
  <c r="L209" i="3" s="1"/>
  <c r="N209" i="3" s="1"/>
  <c r="E227" i="3"/>
  <c r="I227" i="3" s="1"/>
  <c r="L227" i="3" s="1"/>
  <c r="N227" i="3" s="1"/>
  <c r="E267" i="3"/>
  <c r="I267" i="3" s="1"/>
  <c r="L267" i="3" s="1"/>
  <c r="N267" i="3" s="1"/>
  <c r="E271" i="3"/>
  <c r="I271" i="3" s="1"/>
  <c r="L271" i="3" s="1"/>
  <c r="N271" i="3" s="1"/>
  <c r="E297" i="3"/>
  <c r="I297" i="3" s="1"/>
  <c r="L297" i="3" s="1"/>
  <c r="N297" i="3" s="1"/>
  <c r="E221" i="3"/>
  <c r="I221" i="3" s="1"/>
  <c r="L221" i="3" s="1"/>
  <c r="N221" i="3" s="1"/>
  <c r="E291" i="3"/>
  <c r="I291" i="3" s="1"/>
  <c r="L291" i="3" s="1"/>
  <c r="N291" i="3" s="1"/>
  <c r="E298" i="3"/>
  <c r="E274" i="3"/>
  <c r="I274" i="3" s="1"/>
  <c r="L274" i="3" s="1"/>
  <c r="N274" i="3" s="1"/>
  <c r="E250" i="3"/>
  <c r="I250" i="3" s="1"/>
  <c r="L250" i="3" s="1"/>
  <c r="N250" i="3" s="1"/>
  <c r="E281" i="3"/>
  <c r="I281" i="3" s="1"/>
  <c r="L281" i="3" s="1"/>
  <c r="N281" i="3" s="1"/>
  <c r="E295" i="3"/>
  <c r="I295" i="3" s="1"/>
  <c r="L295" i="3" s="1"/>
  <c r="N295" i="3" s="1"/>
  <c r="E229" i="3"/>
  <c r="I229" i="3" s="1"/>
  <c r="L229" i="3" s="1"/>
  <c r="N229" i="3" s="1"/>
  <c r="E262" i="3"/>
  <c r="I262" i="3" s="1"/>
  <c r="L262" i="3" s="1"/>
  <c r="N262" i="3" s="1"/>
  <c r="E257" i="3"/>
  <c r="I257" i="3" s="1"/>
  <c r="L257" i="3" s="1"/>
  <c r="N257" i="3" s="1"/>
  <c r="E249" i="3"/>
  <c r="I249" i="3" s="1"/>
  <c r="L249" i="3" s="1"/>
  <c r="N249" i="3" s="1"/>
  <c r="E294" i="3"/>
  <c r="I294" i="3" s="1"/>
  <c r="L294" i="3" s="1"/>
  <c r="N294" i="3" s="1"/>
  <c r="E270" i="3"/>
  <c r="I270" i="3" s="1"/>
  <c r="L270" i="3" s="1"/>
  <c r="N270" i="3" s="1"/>
  <c r="E220" i="3"/>
  <c r="I220" i="3" s="1"/>
  <c r="L220" i="3" s="1"/>
  <c r="N220" i="3" s="1"/>
  <c r="E219" i="3"/>
  <c r="I219" i="3" s="1"/>
  <c r="L219" i="3" s="1"/>
  <c r="N219" i="3" s="1"/>
  <c r="E268" i="3"/>
  <c r="I268" i="3" s="1"/>
  <c r="L268" i="3" s="1"/>
  <c r="N268" i="3" s="1"/>
  <c r="E283" i="3"/>
  <c r="I283" i="3" s="1"/>
  <c r="L283" i="3" s="1"/>
  <c r="N283" i="3" s="1"/>
  <c r="E241" i="3"/>
  <c r="I241" i="3" s="1"/>
  <c r="L241" i="3" s="1"/>
  <c r="N241" i="3" s="1"/>
  <c r="E218" i="3"/>
  <c r="I218" i="3" s="1"/>
  <c r="L218" i="3" s="1"/>
  <c r="N218" i="3" s="1"/>
  <c r="E214" i="3"/>
  <c r="I214" i="3" s="1"/>
  <c r="L214" i="3" s="1"/>
  <c r="N214" i="3" s="1"/>
  <c r="E273" i="3"/>
  <c r="I273" i="3" s="1"/>
  <c r="L273" i="3" s="1"/>
  <c r="N273" i="3" s="1"/>
  <c r="E232" i="3"/>
  <c r="I232" i="3" s="1"/>
  <c r="L232" i="3" s="1"/>
  <c r="N232" i="3" s="1"/>
  <c r="E231" i="3"/>
  <c r="I231" i="3" s="1"/>
  <c r="L231" i="3" s="1"/>
  <c r="N231" i="3" s="1"/>
  <c r="E280" i="3"/>
  <c r="I280" i="3" s="1"/>
  <c r="L280" i="3" s="1"/>
  <c r="N280" i="3" s="1"/>
  <c r="E293" i="3"/>
  <c r="I293" i="3" s="1"/>
  <c r="L293" i="3" s="1"/>
  <c r="N293" i="3" s="1"/>
  <c r="E245" i="3"/>
  <c r="I245" i="3" s="1"/>
  <c r="L245" i="3" s="1"/>
  <c r="N245" i="3" s="1"/>
  <c r="E239" i="3"/>
  <c r="I239" i="3" s="1"/>
  <c r="L239" i="3" s="1"/>
  <c r="N239" i="3" s="1"/>
  <c r="E224" i="3"/>
  <c r="I224" i="3" s="1"/>
  <c r="L224" i="3" s="1"/>
  <c r="N224" i="3" s="1"/>
  <c r="E243" i="3"/>
  <c r="I243" i="3" s="1"/>
  <c r="L243" i="3" s="1"/>
  <c r="N243" i="3" s="1"/>
  <c r="E234" i="3"/>
  <c r="I234" i="3" s="1"/>
  <c r="L234" i="3" s="1"/>
  <c r="N234" i="3" s="1"/>
  <c r="E246" i="3"/>
  <c r="I246" i="3" s="1"/>
  <c r="L246" i="3" s="1"/>
  <c r="N246" i="3" s="1"/>
  <c r="E252" i="3"/>
  <c r="I252" i="3" s="1"/>
  <c r="L252" i="3" s="1"/>
  <c r="N252" i="3" s="1"/>
  <c r="E278" i="3"/>
  <c r="I278" i="3" s="1"/>
  <c r="L278" i="3" s="1"/>
  <c r="N278" i="3" s="1"/>
  <c r="E223" i="3"/>
  <c r="I223" i="3" s="1"/>
  <c r="L223" i="3" s="1"/>
  <c r="N223" i="3" s="1"/>
  <c r="E285" i="3"/>
  <c r="I285" i="3" s="1"/>
  <c r="L285" i="3" s="1"/>
  <c r="N285" i="3" s="1"/>
  <c r="E225" i="3"/>
  <c r="I225" i="3" s="1"/>
  <c r="L225" i="3" s="1"/>
  <c r="N225" i="3" s="1"/>
  <c r="E288" i="3"/>
  <c r="I288" i="3" s="1"/>
  <c r="L288" i="3" s="1"/>
  <c r="N288" i="3" s="1"/>
  <c r="E212" i="3"/>
  <c r="I212" i="3" s="1"/>
  <c r="L212" i="3" s="1"/>
  <c r="N212" i="3" s="1"/>
  <c r="E217" i="3"/>
  <c r="I217" i="3" s="1"/>
  <c r="L217" i="3" s="1"/>
  <c r="N217" i="3" s="1"/>
  <c r="E260" i="3"/>
  <c r="I260" i="3" s="1"/>
  <c r="L260" i="3" s="1"/>
  <c r="N260" i="3" s="1"/>
  <c r="E226" i="3"/>
  <c r="I226" i="3" s="1"/>
  <c r="L226" i="3" s="1"/>
  <c r="N226" i="3" s="1"/>
  <c r="E237" i="3"/>
  <c r="I237" i="3" s="1"/>
  <c r="L237" i="3" s="1"/>
  <c r="N237" i="3" s="1"/>
  <c r="E256" i="3"/>
  <c r="I256" i="3" s="1"/>
  <c r="L256" i="3" s="1"/>
  <c r="N256" i="3" s="1"/>
  <c r="E207" i="3"/>
  <c r="I207" i="3" s="1"/>
  <c r="L207" i="3" s="1"/>
  <c r="N207" i="3" s="1"/>
  <c r="E238" i="3"/>
  <c r="I238" i="3" s="1"/>
  <c r="L238" i="3" s="1"/>
  <c r="N238" i="3" s="1"/>
  <c r="E286" i="3"/>
  <c r="I286" i="3" s="1"/>
  <c r="L286" i="3" s="1"/>
  <c r="N286" i="3" s="1"/>
  <c r="E269" i="3"/>
  <c r="I269" i="3" s="1"/>
  <c r="L269" i="3" s="1"/>
  <c r="N269" i="3" s="1"/>
  <c r="E292" i="3"/>
  <c r="I292" i="3" s="1"/>
  <c r="L292" i="3" s="1"/>
  <c r="N292" i="3" s="1"/>
  <c r="E261" i="3"/>
  <c r="I261" i="3" s="1"/>
  <c r="L261" i="3" s="1"/>
  <c r="N261" i="3" s="1"/>
  <c r="E290" i="3"/>
  <c r="I290" i="3" s="1"/>
  <c r="L290" i="3" s="1"/>
  <c r="N290" i="3" s="1"/>
  <c r="E279" i="3"/>
  <c r="I279" i="3" s="1"/>
  <c r="L279" i="3" s="1"/>
  <c r="N279" i="3" s="1"/>
  <c r="E210" i="3"/>
  <c r="I210" i="3" s="1"/>
  <c r="L210" i="3" s="1"/>
  <c r="N210" i="3" s="1"/>
  <c r="E236" i="3"/>
  <c r="I236" i="3" s="1"/>
  <c r="L236" i="3" s="1"/>
  <c r="N236" i="3" s="1"/>
  <c r="E204" i="3"/>
  <c r="I204" i="3" s="1"/>
  <c r="L204" i="3" s="1"/>
  <c r="N204" i="3" s="1"/>
  <c r="E275" i="3"/>
  <c r="I275" i="3" s="1"/>
  <c r="L275" i="3" s="1"/>
  <c r="N275" i="3" s="1"/>
  <c r="E266" i="3"/>
  <c r="I266" i="3" s="1"/>
  <c r="L266" i="3" s="1"/>
  <c r="N266" i="3" s="1"/>
  <c r="E244" i="3"/>
  <c r="I244" i="3" s="1"/>
  <c r="L244" i="3" s="1"/>
  <c r="N244" i="3" s="1"/>
  <c r="E211" i="3"/>
  <c r="I211" i="3" s="1"/>
  <c r="L211" i="3" s="1"/>
  <c r="N211" i="3" s="1"/>
  <c r="E254" i="3"/>
  <c r="I254" i="3" s="1"/>
  <c r="L254" i="3" s="1"/>
  <c r="N254" i="3" s="1"/>
  <c r="E206" i="3"/>
  <c r="I206" i="3" s="1"/>
  <c r="L206" i="3" s="1"/>
  <c r="N206" i="3" s="1"/>
  <c r="E215" i="3"/>
  <c r="I215" i="3" s="1"/>
  <c r="L215" i="3" s="1"/>
  <c r="N215" i="3" s="1"/>
  <c r="E258" i="3"/>
  <c r="I258" i="3" s="1"/>
  <c r="L258" i="3" s="1"/>
  <c r="N258" i="3" s="1"/>
  <c r="E264" i="3"/>
  <c r="I264" i="3" s="1"/>
  <c r="L264" i="3" s="1"/>
  <c r="N264" i="3" s="1"/>
  <c r="E240" i="3"/>
  <c r="I240" i="3" s="1"/>
  <c r="L240" i="3" s="1"/>
  <c r="N240" i="3" s="1"/>
  <c r="E216" i="3"/>
  <c r="I216" i="3" s="1"/>
  <c r="L216" i="3" s="1"/>
  <c r="N216" i="3" s="1"/>
  <c r="E277" i="3"/>
  <c r="I277" i="3" s="1"/>
  <c r="L277" i="3" s="1"/>
  <c r="N277" i="3" s="1"/>
  <c r="E253" i="3"/>
  <c r="I253" i="3" s="1"/>
  <c r="L253" i="3" s="1"/>
  <c r="N253" i="3" s="1"/>
  <c r="E205" i="3"/>
  <c r="I205" i="3" s="1"/>
  <c r="L205" i="3" s="1"/>
  <c r="N205" i="3" s="1"/>
  <c r="E247" i="3"/>
  <c r="I247" i="3" s="1"/>
  <c r="L247" i="3" s="1"/>
  <c r="N247" i="3" s="1"/>
  <c r="E222" i="3"/>
  <c r="I222" i="3" s="1"/>
  <c r="L222" i="3" s="1"/>
  <c r="N222" i="3" s="1"/>
  <c r="E208" i="3"/>
  <c r="I208" i="3" s="1"/>
  <c r="L208" i="3" s="1"/>
  <c r="N208" i="3" s="1"/>
  <c r="E228" i="3"/>
  <c r="I228" i="3" s="1"/>
  <c r="L228" i="3" s="1"/>
  <c r="N228" i="3" s="1"/>
  <c r="E289" i="3"/>
  <c r="I289" i="3" s="1"/>
  <c r="L289" i="3" s="1"/>
  <c r="N289" i="3" s="1"/>
  <c r="E213" i="3"/>
  <c r="I213" i="3" s="1"/>
  <c r="L213" i="3" s="1"/>
  <c r="N213" i="3" s="1"/>
  <c r="E259" i="3"/>
  <c r="I259" i="3" s="1"/>
  <c r="L259" i="3" s="1"/>
  <c r="N259" i="3" s="1"/>
  <c r="E233" i="3"/>
  <c r="I233" i="3" s="1"/>
  <c r="L233" i="3" s="1"/>
  <c r="N233" i="3" s="1"/>
  <c r="E248" i="3"/>
  <c r="I248" i="3" s="1"/>
  <c r="L248" i="3" s="1"/>
  <c r="N248" i="3" s="1"/>
  <c r="E276" i="3"/>
  <c r="I276" i="3" s="1"/>
  <c r="L276" i="3" s="1"/>
  <c r="N276" i="3" s="1"/>
  <c r="E263" i="3"/>
  <c r="I263" i="3" s="1"/>
  <c r="L263" i="3" s="1"/>
  <c r="N263" i="3" s="1"/>
  <c r="E230" i="3"/>
  <c r="I230" i="3" s="1"/>
  <c r="L230" i="3" s="1"/>
  <c r="N230" i="3" s="1"/>
  <c r="E272" i="3"/>
  <c r="I272" i="3" s="1"/>
  <c r="L272" i="3" s="1"/>
  <c r="N272" i="3" s="1"/>
  <c r="E255" i="3"/>
  <c r="I255" i="3" s="1"/>
  <c r="L255" i="3" s="1"/>
  <c r="N255" i="3" s="1"/>
  <c r="E242" i="3"/>
  <c r="I242" i="3" s="1"/>
  <c r="L242" i="3" s="1"/>
  <c r="N242" i="3" s="1"/>
  <c r="E284" i="3"/>
  <c r="I284" i="3" s="1"/>
  <c r="L284" i="3" s="1"/>
  <c r="N284" i="3" s="1"/>
  <c r="I298" i="3"/>
  <c r="L298" i="3" s="1"/>
  <c r="N298" i="3" s="1"/>
  <c r="H299" i="3"/>
  <c r="I299" i="3" l="1"/>
  <c r="I301" i="3" s="1"/>
  <c r="I303" i="3" s="1"/>
  <c r="I304" i="3" s="1"/>
</calcChain>
</file>

<file path=xl/sharedStrings.xml><?xml version="1.0" encoding="utf-8"?>
<sst xmlns="http://schemas.openxmlformats.org/spreadsheetml/2006/main" count="872" uniqueCount="561">
  <si>
    <t>TONELADAS RUM</t>
  </si>
  <si>
    <t>Transferencia RÒTOVA</t>
  </si>
  <si>
    <t>Transporte RÒTOVA</t>
  </si>
  <si>
    <t>destino EMTRE</t>
  </si>
  <si>
    <t>destino V1 (Caudete)</t>
  </si>
  <si>
    <t>destino V3 (Algimia)</t>
  </si>
  <si>
    <t>Transporte BUFALI</t>
  </si>
  <si>
    <t>Transferencia BUFALI</t>
  </si>
  <si>
    <t>Transporte Valle - Ayora</t>
  </si>
  <si>
    <t>Valorización - eliminación V3 (ALGIMIA)</t>
  </si>
  <si>
    <t>Valorización - eliminación V4 (GUADASSUAR)</t>
  </si>
  <si>
    <t>TOTAL IVA 10%</t>
  </si>
  <si>
    <t>% RECHAZO PLANTA</t>
  </si>
  <si>
    <t>TONELADAS FORSU</t>
  </si>
  <si>
    <t>destino GUADASSUAR</t>
  </si>
  <si>
    <t xml:space="preserve">Valorización - eliminación EMTRE </t>
  </si>
  <si>
    <t>Valorización - eliminación V1 (CAUDETE)</t>
  </si>
  <si>
    <t>COSTE VALORIZ.-ELIMIN. (€/t IVA INCL)</t>
  </si>
  <si>
    <t xml:space="preserve"> </t>
  </si>
  <si>
    <t>Total coste</t>
  </si>
  <si>
    <t>COSTE IMPUESTO ELIMINACIÓN (€/t)</t>
  </si>
  <si>
    <t>contrato servicios BASCULISTAS</t>
  </si>
  <si>
    <t xml:space="preserve">Total coste directo RSU </t>
  </si>
  <si>
    <t>Servicios diferenciados a uno o varios municipios (B)</t>
  </si>
  <si>
    <t xml:space="preserve">Red Consorciada de Ecoparques (C) (incluye voluminosos): </t>
  </si>
  <si>
    <t>OTROS COSTES</t>
  </si>
  <si>
    <t>Gastos de carácter administrativo e inversiones</t>
  </si>
  <si>
    <t>Asistencias Órganos de Gobierno</t>
  </si>
  <si>
    <t>*</t>
  </si>
  <si>
    <t>Convenio adminstrativo XÀTIVA - Archivero</t>
  </si>
  <si>
    <t>Convenio adminstrativo GANDIA - Intervención</t>
  </si>
  <si>
    <t>Convenio adminstrativo GANDIA - Administración contable</t>
  </si>
  <si>
    <t>Convenio adminstrativo CANALS - Vicesecretario</t>
  </si>
  <si>
    <t>Retribución básica del Grupo A1-TAG</t>
  </si>
  <si>
    <t>Retribución básica TAE A2</t>
  </si>
  <si>
    <t>Retribución básica B técnico compostador</t>
  </si>
  <si>
    <t>Retribución básica del Grupo C1 (2,5personas)</t>
  </si>
  <si>
    <t>Complemento específico A1-TAG</t>
  </si>
  <si>
    <t>Complemento específico A2-TAE</t>
  </si>
  <si>
    <t>Complemento específico B Técnico compostador</t>
  </si>
  <si>
    <t>Complemento específico C1 administrativo (2,5 personas)</t>
  </si>
  <si>
    <t>Complemento de destino A1 - TAG (27)</t>
  </si>
  <si>
    <t>Complemento de destino A2-TAE (26)</t>
  </si>
  <si>
    <t>compemento de destino B técnico compostador (22)</t>
  </si>
  <si>
    <t>Complemento de destino C1 (20) (2,5 personas)</t>
  </si>
  <si>
    <t>Previsión productividad y gratificaciones</t>
  </si>
  <si>
    <t>Seguridad Social total</t>
  </si>
  <si>
    <t>Salario Gerencia</t>
  </si>
  <si>
    <t>PARTIDA ADICIONAL OTROS CAPITULO I</t>
  </si>
  <si>
    <t>PERSONAL CAPÍTULO I PRESUPUESTO</t>
  </si>
  <si>
    <t>Indemnizaciones (233)</t>
  </si>
  <si>
    <t>Comisiones tributarias y técnicas</t>
  </si>
  <si>
    <t>Asesoría Laboral</t>
  </si>
  <si>
    <t>Mantenumiento Vehículos (contrato)</t>
  </si>
  <si>
    <t>Contrato comunicación</t>
  </si>
  <si>
    <t>Acciones de divulgación, comunicación y educ. ambiental</t>
  </si>
  <si>
    <t>Jornadas de formación 2025</t>
  </si>
  <si>
    <t>Consell de Participació social</t>
  </si>
  <si>
    <t>Subvenciones COR a municipios (PLAN ESTRATÉGICO)</t>
  </si>
  <si>
    <t>plan estrategico</t>
  </si>
  <si>
    <t>Luz, teléfono, datos</t>
  </si>
  <si>
    <t>Alquiler local y plazas aparcamiento</t>
  </si>
  <si>
    <t>Material oficina</t>
  </si>
  <si>
    <t>Correos y mensajería</t>
  </si>
  <si>
    <t>Limpieza local</t>
  </si>
  <si>
    <t>SUMA*</t>
  </si>
  <si>
    <t>Servicios informáticos</t>
  </si>
  <si>
    <t>CAP 6</t>
  </si>
  <si>
    <t>Fotocopiadora</t>
  </si>
  <si>
    <t>Servicios de Mantenimiento Islas y sede COR</t>
  </si>
  <si>
    <t>Hosting web +backups + incidencias</t>
  </si>
  <si>
    <t>Servicio Prevención Riesgos Laborales</t>
  </si>
  <si>
    <t xml:space="preserve">Gestiona o similar </t>
  </si>
  <si>
    <t>Publicaciones (DOCV, BOP, diarios,…)</t>
  </si>
  <si>
    <t>Gastos diversos (carburante,…)</t>
  </si>
  <si>
    <t>Gastos financieros</t>
  </si>
  <si>
    <t>Servicios jurídicos</t>
  </si>
  <si>
    <t>Otros trabajos técnicos externos</t>
  </si>
  <si>
    <t>Primas de seguros</t>
  </si>
  <si>
    <t>Consultoria y asistencia</t>
  </si>
  <si>
    <t>Cantidad máxima RC. Nunca se alcanza toda la facturación</t>
  </si>
  <si>
    <t xml:space="preserve">Programa Compostaje doméstico </t>
  </si>
  <si>
    <t>Programa Desperdicio alimentario</t>
  </si>
  <si>
    <t>Programa Compostaescola</t>
  </si>
  <si>
    <t>Convenios por transferencia</t>
  </si>
  <si>
    <t>PIMA 2017 recogida biorresiduo Valle Ayora</t>
  </si>
  <si>
    <t>Total gastos administrativos e inversiones</t>
  </si>
  <si>
    <t>Gastos de gestión recaudatoria</t>
  </si>
  <si>
    <t>1,00% (suma costes servicio y administración recaudado en voluntaria 84%)</t>
  </si>
  <si>
    <t>Gastos notificación inicial</t>
  </si>
  <si>
    <t>Correos</t>
  </si>
  <si>
    <t>= Suma Total Coste servicio RSU</t>
  </si>
  <si>
    <t>Coste del desarrollo del servicio</t>
  </si>
  <si>
    <t>Provisión por insolvencia 3%</t>
  </si>
  <si>
    <t>CALCULO DEL COSTE TOTAL DEL SERVICIO RSU</t>
  </si>
  <si>
    <t>Total costes servicio RSU +servicios diferenciados</t>
  </si>
  <si>
    <t>Total coste RUM y FORS 2025</t>
  </si>
  <si>
    <t>Total ingresos diferentes tasa</t>
  </si>
  <si>
    <t xml:space="preserve">Coste medio por tonelada </t>
  </si>
  <si>
    <t>Ingresos por explotación servicio aceites</t>
  </si>
  <si>
    <t>Aportación Diputación 15% gasto corriente</t>
  </si>
  <si>
    <t>CT FORS</t>
  </si>
  <si>
    <t>CT RUM</t>
  </si>
  <si>
    <t>Aportación Generalitat 25% gasto corriente</t>
  </si>
  <si>
    <t>Ingresos a obtener en tasa sin ecoparques 2025</t>
  </si>
  <si>
    <t>CIE RUM ERV</t>
  </si>
  <si>
    <t>Coste total  servicio (SIN IMPUESTO VERTEDEROS= COSTE RUM+COSTE FORS + B + C - GP</t>
  </si>
  <si>
    <t>CIE FORS ERV</t>
  </si>
  <si>
    <t>B=  Ratio de servicios repercutible sólo a uno o varios municipios</t>
  </si>
  <si>
    <t>C = Ecoparques. Coste servicio de ecoparques por municipio repartido según unidades fiscales</t>
  </si>
  <si>
    <t>GP = INGRESOS POR GRANDES PRODUCTORES (a restar)</t>
  </si>
  <si>
    <t>CALCULO COEFICIENTE B (SERVICIOS DIFERENCIADOS A COBRAR A ALGÚN MUNICIPIO ESPECÍFICO)</t>
  </si>
  <si>
    <r>
      <t>M</t>
    </r>
    <r>
      <rPr>
        <b/>
        <sz val="10"/>
        <color indexed="8"/>
        <rFont val="Times New Roman"/>
        <family val="1"/>
      </rPr>
      <t xml:space="preserve">UNICIPIO </t>
    </r>
    <r>
      <rPr>
        <b/>
        <sz val="10"/>
        <rFont val="Times New Roman"/>
        <family val="1"/>
      </rPr>
      <t xml:space="preserve"> </t>
    </r>
  </si>
  <si>
    <r>
      <t xml:space="preserve"> </t>
    </r>
    <r>
      <rPr>
        <b/>
        <sz val="10"/>
        <color indexed="8"/>
        <rFont val="Times New Roman"/>
        <family val="1"/>
      </rPr>
      <t xml:space="preserve">PRODUCCIÓN </t>
    </r>
    <r>
      <rPr>
        <b/>
        <sz val="10"/>
        <rFont val="Times New Roman"/>
        <family val="1"/>
      </rPr>
      <t xml:space="preserve"> ESTIMADA  RSU 2025 (TM/año)  TOTALES (RUM + FORS)</t>
    </r>
  </si>
  <si>
    <t>COEFICIENTE B: NO SE PREVÉN SERVICIOS DIFERENCIADOS</t>
  </si>
  <si>
    <t>Anna</t>
  </si>
  <si>
    <t>Ador</t>
  </si>
  <si>
    <t>Agullent</t>
  </si>
  <si>
    <t>Aielo de Malferit</t>
  </si>
  <si>
    <t>Total tn Municipios con servicios diferenciados</t>
  </si>
  <si>
    <t>Aielo de Rugat</t>
  </si>
  <si>
    <t>Albaida</t>
  </si>
  <si>
    <t>Coste Servicios diferenciados 2023</t>
  </si>
  <si>
    <t>€ IVA INCL</t>
  </si>
  <si>
    <t>Alfarrasí</t>
  </si>
  <si>
    <t>Almiserà</t>
  </si>
  <si>
    <t>Almoines</t>
  </si>
  <si>
    <t>Atzeneta d'Albaida</t>
  </si>
  <si>
    <t>Ayora</t>
  </si>
  <si>
    <t>Beniarjó</t>
  </si>
  <si>
    <t>Beniflà</t>
  </si>
  <si>
    <t>Barxeta</t>
  </si>
  <si>
    <t>Bèlgida</t>
  </si>
  <si>
    <t>Bellreguard</t>
  </si>
  <si>
    <t>Bellús</t>
  </si>
  <si>
    <t>Beniatjar</t>
  </si>
  <si>
    <t>Benicolet</t>
  </si>
  <si>
    <t>Benirredrà</t>
  </si>
  <si>
    <t>Benissoda</t>
  </si>
  <si>
    <t>Bicorp</t>
  </si>
  <si>
    <t>Bocairent</t>
  </si>
  <si>
    <t>Bolbaite</t>
  </si>
  <si>
    <t>Bufali</t>
  </si>
  <si>
    <t>Canals</t>
  </si>
  <si>
    <t>Carrícola</t>
  </si>
  <si>
    <t>Castelló de Rugat</t>
  </si>
  <si>
    <t>Castellonet de la Conquesta</t>
  </si>
  <si>
    <t>Chella</t>
  </si>
  <si>
    <t>Cofrentes</t>
  </si>
  <si>
    <t>Daimús</t>
  </si>
  <si>
    <t>El Palomar</t>
  </si>
  <si>
    <t>Enguera</t>
  </si>
  <si>
    <t>Estubeny</t>
  </si>
  <si>
    <t>Fontanars dels Alforins</t>
  </si>
  <si>
    <t>Gandia</t>
  </si>
  <si>
    <t>Jalance</t>
  </si>
  <si>
    <t>Jarafuel</t>
  </si>
  <si>
    <t>La Font de la Figuera</t>
  </si>
  <si>
    <t>La Granja de la Costera</t>
  </si>
  <si>
    <t>La Llosa de Ranes</t>
  </si>
  <si>
    <t>La Pobla del Duc</t>
  </si>
  <si>
    <t>L'Alcudia de Crespins</t>
  </si>
  <si>
    <t>Llanera de Ranes</t>
  </si>
  <si>
    <t>Llocnou de Sant Jeroni</t>
  </si>
  <si>
    <t>Llutxent</t>
  </si>
  <si>
    <t>L'Olleria</t>
  </si>
  <si>
    <t>Miramar</t>
  </si>
  <si>
    <t>Moixent</t>
  </si>
  <si>
    <t>Montaverner</t>
  </si>
  <si>
    <t>Montesa</t>
  </si>
  <si>
    <t>Navarrés</t>
  </si>
  <si>
    <t>Novetlè</t>
  </si>
  <si>
    <t>Oliva</t>
  </si>
  <si>
    <t>Ontinyent</t>
  </si>
  <si>
    <t>Otos</t>
  </si>
  <si>
    <t>Palma de Gandia</t>
  </si>
  <si>
    <t>Palmera</t>
  </si>
  <si>
    <t>Piles</t>
  </si>
  <si>
    <t>Pinet</t>
  </si>
  <si>
    <t>Quatretonda</t>
  </si>
  <si>
    <t>Quesa</t>
  </si>
  <si>
    <t>Rafelcofer</t>
  </si>
  <si>
    <t>Ràfol de Salem</t>
  </si>
  <si>
    <t>Rotglà i Corberà</t>
  </si>
  <si>
    <t>Rugat</t>
  </si>
  <si>
    <t>Salem</t>
  </si>
  <si>
    <t>Sempere</t>
  </si>
  <si>
    <t>Teresa de Cofrentes</t>
  </si>
  <si>
    <t>Terrateig</t>
  </si>
  <si>
    <t>Torrella</t>
  </si>
  <si>
    <t>Vallada</t>
  </si>
  <si>
    <t>Vallés</t>
  </si>
  <si>
    <t>Xàtiva</t>
  </si>
  <si>
    <t>Xeraco</t>
  </si>
  <si>
    <t>Xeresa</t>
  </si>
  <si>
    <t>Zarra</t>
  </si>
  <si>
    <r>
      <t xml:space="preserve"> </t>
    </r>
    <r>
      <rPr>
        <b/>
        <sz val="10"/>
        <color indexed="8"/>
        <rFont val="Times New Roman"/>
        <family val="1"/>
      </rPr>
      <t xml:space="preserve">TOTAL </t>
    </r>
    <r>
      <rPr>
        <b/>
        <sz val="10"/>
        <rFont val="Times New Roman"/>
        <family val="1"/>
      </rPr>
      <t xml:space="preserve"> </t>
    </r>
  </si>
  <si>
    <t>LIQUIDACIÓN POR MUNICIPIOS</t>
  </si>
  <si>
    <t>Ti RUM</t>
  </si>
  <si>
    <t>Ti FORS</t>
  </si>
  <si>
    <t>CRUMi</t>
  </si>
  <si>
    <t>CFORSi</t>
  </si>
  <si>
    <t>B SERVICIOS DIFERENCIADOS</t>
  </si>
  <si>
    <t>Liquidación coste servicio ECOPARQUES (C)</t>
  </si>
  <si>
    <t>Liquidación coste total servicio  (CRUMi+CFORSi+C) - GP</t>
  </si>
  <si>
    <t>GRANDES PRODUCTORES GP (€)</t>
  </si>
  <si>
    <t xml:space="preserve"> (PPVi) SIN IMPUESTO ELIMINACIÓN EN VERTEDEROS</t>
  </si>
  <si>
    <t>IMPUESTO ELIMINACIÓN EN VERTEDEROS          (€)</t>
  </si>
  <si>
    <t>TOTAL  (PPVi) CON IMPUESTO ELIMINACIÓN EN VERTEDEROS</t>
  </si>
  <si>
    <t>039</t>
  </si>
  <si>
    <t>002</t>
  </si>
  <si>
    <t>004</t>
  </si>
  <si>
    <t>042</t>
  </si>
  <si>
    <t>043</t>
  </si>
  <si>
    <t>006</t>
  </si>
  <si>
    <t>023</t>
  </si>
  <si>
    <t>027</t>
  </si>
  <si>
    <t>033</t>
  </si>
  <si>
    <t>034</t>
  </si>
  <si>
    <t>003</t>
  </si>
  <si>
    <t>044</t>
  </si>
  <si>
    <t>055</t>
  </si>
  <si>
    <t>061</t>
  </si>
  <si>
    <t>045</t>
  </si>
  <si>
    <t>047</t>
  </si>
  <si>
    <t>048</t>
  </si>
  <si>
    <t>049</t>
  </si>
  <si>
    <t>056</t>
  </si>
  <si>
    <t>057</t>
  </si>
  <si>
    <t>062</t>
  </si>
  <si>
    <t>068</t>
  </si>
  <si>
    <t>070</t>
  </si>
  <si>
    <t>071</t>
  </si>
  <si>
    <t>073</t>
  </si>
  <si>
    <t>074</t>
  </si>
  <si>
    <t>075</t>
  </si>
  <si>
    <t>077</t>
  </si>
  <si>
    <t>083</t>
  </si>
  <si>
    <t>088</t>
  </si>
  <si>
    <t>092</t>
  </si>
  <si>
    <t>093</t>
  </si>
  <si>
    <t>098</t>
  </si>
  <si>
    <t>109</t>
  </si>
  <si>
    <t>099</t>
  </si>
  <si>
    <t>115</t>
  </si>
  <si>
    <t>191</t>
  </si>
  <si>
    <t>120</t>
  </si>
  <si>
    <t>123</t>
  </si>
  <si>
    <t>126</t>
  </si>
  <si>
    <t>133</t>
  </si>
  <si>
    <t>134</t>
  </si>
  <si>
    <t>140</t>
  </si>
  <si>
    <t>142</t>
  </si>
  <si>
    <t>144</t>
  </si>
  <si>
    <t>146</t>
  </si>
  <si>
    <t>130</t>
  </si>
  <si>
    <t>129</t>
  </si>
  <si>
    <t>139</t>
  </si>
  <si>
    <t>159</t>
  </si>
  <si>
    <t>202</t>
  </si>
  <si>
    <t>020</t>
  </si>
  <si>
    <t>037</t>
  </si>
  <si>
    <t>156</t>
  </si>
  <si>
    <t>155</t>
  </si>
  <si>
    <t>153</t>
  </si>
  <si>
    <t>152</t>
  </si>
  <si>
    <t>185</t>
  </si>
  <si>
    <t>170</t>
  </si>
  <si>
    <t>172</t>
  </si>
  <si>
    <t>175</t>
  </si>
  <si>
    <t>176</t>
  </si>
  <si>
    <t>177</t>
  </si>
  <si>
    <t>181</t>
  </si>
  <si>
    <t>182</t>
  </si>
  <si>
    <t>183</t>
  </si>
  <si>
    <t>186</t>
  </si>
  <si>
    <t>187</t>
  </si>
  <si>
    <t>189</t>
  </si>
  <si>
    <t>190</t>
  </si>
  <si>
    <t>197</t>
  </si>
  <si>
    <t>198</t>
  </si>
  <si>
    <t>200</t>
  </si>
  <si>
    <t>106</t>
  </si>
  <si>
    <t>208</t>
  </si>
  <si>
    <t>210</t>
  </si>
  <si>
    <t>212</t>
  </si>
  <si>
    <t>213</t>
  </si>
  <si>
    <t>219</t>
  </si>
  <si>
    <t>220</t>
  </si>
  <si>
    <t>221</t>
  </si>
  <si>
    <t>223</t>
  </si>
  <si>
    <t>228</t>
  </si>
  <si>
    <t>241</t>
  </si>
  <si>
    <t>242</t>
  </si>
  <si>
    <t>245</t>
  </si>
  <si>
    <t>253</t>
  </si>
  <si>
    <t>255</t>
  </si>
  <si>
    <t>257</t>
  </si>
  <si>
    <t>147</t>
  </si>
  <si>
    <t>145</t>
  </si>
  <si>
    <t>148</t>
  </si>
  <si>
    <t>265</t>
  </si>
  <si>
    <t>Ingreso diferente tasa</t>
  </si>
  <si>
    <t>Total coste del servicio SIN IMP.</t>
  </si>
  <si>
    <t>Total  del servicio CON IMP.</t>
  </si>
  <si>
    <t>a PTO</t>
  </si>
  <si>
    <t>SUBIDA COR</t>
  </si>
  <si>
    <t>VERTEDEROS</t>
  </si>
  <si>
    <t>TOTAL RED CONSORCIADA ECOPARQUES 2025</t>
  </si>
  <si>
    <t>COSTES DIRECTOS</t>
  </si>
  <si>
    <t>PTO IVA INCL</t>
  </si>
  <si>
    <t xml:space="preserve">Ecoparques Fijos (C): </t>
  </si>
  <si>
    <t xml:space="preserve">Ecoparques Móviles (C): </t>
  </si>
  <si>
    <t>Dotación "El meu compte ambiental"</t>
  </si>
  <si>
    <t>Total costes directos</t>
  </si>
  <si>
    <t>COSTES INDIRECTOS</t>
  </si>
  <si>
    <t>Gastos de gestión recaudatoria (1,00% de lo recaudado en voluntaria 84%)</t>
  </si>
  <si>
    <t>Provisión por insolvencias (3%)</t>
  </si>
  <si>
    <t>Total costes indirectos</t>
  </si>
  <si>
    <t>suma COSTES (CE)</t>
  </si>
  <si>
    <r>
      <t>COSTE/ud tributaria (CE/</t>
    </r>
    <r>
      <rPr>
        <b/>
        <sz val="10"/>
        <rFont val="GreekS"/>
      </rPr>
      <t>S</t>
    </r>
    <r>
      <rPr>
        <b/>
        <sz val="10"/>
        <rFont val="Arial"/>
        <family val="2"/>
      </rPr>
      <t>NUPi</t>
    </r>
  </si>
  <si>
    <t>impuesto</t>
  </si>
  <si>
    <t>neto</t>
  </si>
  <si>
    <t>gastos cobro</t>
  </si>
  <si>
    <t>insolvencias</t>
  </si>
  <si>
    <t>TOTAL INSOLVENCIAS</t>
  </si>
  <si>
    <t>de ecoparques</t>
  </si>
  <si>
    <t>del resto costes</t>
  </si>
  <si>
    <t>del impuesto</t>
  </si>
  <si>
    <t>COBRO</t>
  </si>
  <si>
    <t>EL REPARTO MUNICIPAL PARA EL 2025 ES ORIENTATIVO Y NO SE USA PARA LOS RECIBOS PUESTO QUE SE ACTUALIZARÁ SEGÚN EL 2024 Y LO QUE SE ESTÉ HACIENDO HASTA ABRIL DEL 2025 EN CADA LOCALIDAD. ES UNA ESTIMACIÓN PARA EL CONJUNTO DE LA TASA</t>
  </si>
  <si>
    <t>ri RUM</t>
  </si>
  <si>
    <t>ri FORS</t>
  </si>
  <si>
    <t xml:space="preserve">estimación FORS A PLANTA 2025 (t/año)  </t>
  </si>
  <si>
    <r>
      <t xml:space="preserve">estimación </t>
    </r>
    <r>
      <rPr>
        <b/>
        <sz val="12"/>
        <color indexed="8"/>
        <rFont val="Times New Roman"/>
        <family val="1"/>
      </rPr>
      <t xml:space="preserve">RUM 2025(t/año) </t>
    </r>
    <r>
      <rPr>
        <b/>
        <sz val="12"/>
        <rFont val="Times New Roman"/>
        <family val="1"/>
      </rPr>
      <t xml:space="preserve"> </t>
    </r>
  </si>
  <si>
    <t>TONELADAS PREVISTAS 2025</t>
  </si>
  <si>
    <t>Municipi</t>
  </si>
  <si>
    <t>Alfauir</t>
  </si>
  <si>
    <t>Benigànim</t>
  </si>
  <si>
    <t>Benissuera</t>
  </si>
  <si>
    <t>Cerdà</t>
  </si>
  <si>
    <t>El Genovés</t>
  </si>
  <si>
    <t>El Real de Gandia</t>
  </si>
  <si>
    <t>Guadasséquies</t>
  </si>
  <si>
    <t>Guardamar de la Safor</t>
  </si>
  <si>
    <t>La Font d'En Carròs</t>
  </si>
  <si>
    <t>L'Alqueria de la Comtessa</t>
  </si>
  <si>
    <t>Llocnou d'En Fenollet</t>
  </si>
  <si>
    <t>Montixelvo</t>
  </si>
  <si>
    <t>Potries</t>
  </si>
  <si>
    <t>Ròtova</t>
  </si>
  <si>
    <t>Vilallonga</t>
  </si>
  <si>
    <r>
      <t xml:space="preserve"> </t>
    </r>
    <r>
      <rPr>
        <b/>
        <sz val="11"/>
        <color indexed="8"/>
        <rFont val="Times New Roman"/>
        <family val="1"/>
      </rPr>
      <t xml:space="preserve">RUM 2024 (t/año) </t>
    </r>
    <r>
      <rPr>
        <b/>
        <sz val="11"/>
        <rFont val="Times New Roman"/>
        <family val="1"/>
      </rPr>
      <t xml:space="preserve"> </t>
    </r>
  </si>
  <si>
    <r>
      <t xml:space="preserve"> </t>
    </r>
    <r>
      <rPr>
        <b/>
        <sz val="11"/>
        <color indexed="8"/>
        <rFont val="Times New Roman"/>
        <family val="1"/>
      </rPr>
      <t xml:space="preserve">FORS ISLAS 2024(t/año) </t>
    </r>
    <r>
      <rPr>
        <b/>
        <sz val="11"/>
        <rFont val="Times New Roman"/>
        <family val="1"/>
      </rPr>
      <t xml:space="preserve"> </t>
    </r>
  </si>
  <si>
    <t xml:space="preserve">FORS A PLANTA 2024 (t/año)  </t>
  </si>
  <si>
    <r>
      <t>TOTAL 202</t>
    </r>
    <r>
      <rPr>
        <b/>
        <sz val="11"/>
        <color indexed="8"/>
        <rFont val="Times New Roman"/>
        <family val="1"/>
      </rPr>
      <t xml:space="preserve"> (t/año) </t>
    </r>
    <r>
      <rPr>
        <b/>
        <sz val="11"/>
        <rFont val="Times New Roman"/>
        <family val="1"/>
      </rPr>
      <t xml:space="preserve"> </t>
    </r>
  </si>
  <si>
    <t>ENTRADAS REALES COR (TN) RUM 2025</t>
  </si>
  <si>
    <t xml:space="preserve">ENTRADAS REALES COR (Tn) FORS 2025 </t>
  </si>
  <si>
    <t>RUM A GUADASSUAR</t>
  </si>
  <si>
    <t>RUM A ALGIMIA DE ALFARA</t>
  </si>
  <si>
    <t>RUM A CAUDETE</t>
  </si>
  <si>
    <t>RUM A CAUDETE (ORIGEN VALLE DE AYORA)</t>
  </si>
  <si>
    <t>RUM A EMTRE</t>
  </si>
  <si>
    <t>SUMA DESTINOS RUM</t>
  </si>
  <si>
    <t xml:space="preserve">FORS A ALGIMIA DE ALFARA </t>
  </si>
  <si>
    <t>FORS A GUADASSUAR</t>
  </si>
  <si>
    <t>FORS A GUADASSUAR (TRANSFERENCIA)</t>
  </si>
  <si>
    <t>FORS A CAUDETE (VALLE DE AYORA)</t>
  </si>
  <si>
    <t>FOS A AYORA</t>
  </si>
  <si>
    <t>SUMA DESTINOS FORS</t>
  </si>
  <si>
    <t>SUMA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</si>
  <si>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</si>
  <si>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</si>
  <si>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</si>
  <si>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</si>
  <si>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</si>
  <si>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</si>
  <si>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</si>
  <si>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</si>
  <si>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</si>
  <si>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</si>
  <si>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</si>
  <si>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</si>
  <si>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</si>
  <si>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COSTE IMPUESTO DEPOSITO EN VERTEDERO CON IVA</t>
  </si>
  <si>
    <t>TOTAL GESTIÓN</t>
  </si>
  <si>
    <t>ruma a emtre</t>
  </si>
  <si>
    <t>VALLE DE Ayora - cofrentes</t>
  </si>
  <si>
    <t>xativa</t>
  </si>
  <si>
    <t>€/ t PEC  2026</t>
  </si>
  <si>
    <t>PEC 2026</t>
  </si>
  <si>
    <t>Valorización - eliminación V3 (ALGIMIA) de Ròtova</t>
  </si>
  <si>
    <t>Valorización - eliminación V3 (ALGIMIA) de Bufali</t>
  </si>
  <si>
    <t>destino V1 (Caudete) 160 km</t>
  </si>
  <si>
    <t>destino EMTRE 94 km</t>
  </si>
  <si>
    <t>destino V3 (Algimia) 143 km</t>
  </si>
  <si>
    <t>destino EMTRE 90 km</t>
  </si>
  <si>
    <t>destino V1 (Caudete) 154 km</t>
  </si>
  <si>
    <t>destino V3 (Algimia) 130 km</t>
  </si>
  <si>
    <t>Valorización - eliminación V1 (CAUDETE) 15000 - 20000</t>
  </si>
  <si>
    <t>Valorización - eliminación V1 (CAUDETE) 20000-40000</t>
  </si>
  <si>
    <t>Valorización - eliminación EMTRE (planta tratamiento + transporte a vertedero + vertedero)</t>
  </si>
  <si>
    <t>COSTE TRANSFERENCIA Y TRANSPORTE (€/t IVA INCL)</t>
  </si>
  <si>
    <t>COSTES TRANSFERENCIA Y TRANSPORTE</t>
  </si>
  <si>
    <t>COSTES VALORIZACIÓN Y ELIMINACIÓN</t>
  </si>
  <si>
    <t>COSTES CANON</t>
  </si>
  <si>
    <t>COSTES PEC</t>
  </si>
  <si>
    <t>COSTES CON IVA</t>
  </si>
  <si>
    <t>COSTES IMPUESTO</t>
  </si>
  <si>
    <t>Unidades tributarias 2025</t>
  </si>
  <si>
    <t>Renting furgón  + renting vehiculos educadores</t>
  </si>
  <si>
    <t>costes forsu</t>
  </si>
  <si>
    <t>costes rum</t>
  </si>
  <si>
    <t xml:space="preserve">estimación FORS A PLANTA 2026 (t/año)  </t>
  </si>
  <si>
    <r>
      <t xml:space="preserve">estimación </t>
    </r>
    <r>
      <rPr>
        <b/>
        <sz val="12"/>
        <color indexed="8"/>
        <rFont val="Times New Roman"/>
        <family val="1"/>
      </rPr>
      <t xml:space="preserve">RUM 2026(t/año) </t>
    </r>
    <r>
      <rPr>
        <b/>
        <sz val="12"/>
        <rFont val="Times New Roman"/>
        <family val="1"/>
      </rPr>
      <t xml:space="preserve"> </t>
    </r>
  </si>
  <si>
    <t>Unidades Tributarias 2025 (NUPi)</t>
  </si>
  <si>
    <t>ADOR</t>
  </si>
  <si>
    <t>ATZENETA D'ALBAIDA</t>
  </si>
  <si>
    <t>AGULLENT</t>
  </si>
  <si>
    <t>ALBAIDA</t>
  </si>
  <si>
    <t>ALFAUIR</t>
  </si>
  <si>
    <t>ALMOINES</t>
  </si>
  <si>
    <t>ANNA</t>
  </si>
  <si>
    <t>AIELO DE MALFERIT</t>
  </si>
  <si>
    <t>AIELO DE RUGAT</t>
  </si>
  <si>
    <t>AYORA</t>
  </si>
  <si>
    <t>BARXETA</t>
  </si>
  <si>
    <t>BELLREGUARD</t>
  </si>
  <si>
    <t>BENIATJAR</t>
  </si>
  <si>
    <t>BENICOLET</t>
  </si>
  <si>
    <t>BENISSODA</t>
  </si>
  <si>
    <t>BICORP</t>
  </si>
  <si>
    <t>BOCAIRENT</t>
  </si>
  <si>
    <t>BOLBAITE</t>
  </si>
  <si>
    <t>BUFALI</t>
  </si>
  <si>
    <t>CANALS</t>
  </si>
  <si>
    <t>CASTELLONET DE LA CONQUESTA</t>
  </si>
  <si>
    <t>COFRENTES</t>
  </si>
  <si>
    <t>QUATRETONDA</t>
  </si>
  <si>
    <t>CHELLA</t>
  </si>
  <si>
    <t>ENGUERA</t>
  </si>
  <si>
    <t>ESTUBENY</t>
  </si>
  <si>
    <t>FONTANARS DELS ALFORINS</t>
  </si>
  <si>
    <t>LA FONT D'EN CARRÒS</t>
  </si>
  <si>
    <t>GANDIA</t>
  </si>
  <si>
    <t>GUARDAMAR DE LA SAFOR</t>
  </si>
  <si>
    <t>JALANCE</t>
  </si>
  <si>
    <t>XERACO</t>
  </si>
  <si>
    <t>JARAFUEL</t>
  </si>
  <si>
    <t>XERESA</t>
  </si>
  <si>
    <t>LLUTXENT</t>
  </si>
  <si>
    <t>LLOCNOU D'EN FENOLLET</t>
  </si>
  <si>
    <t>LLOCNOU DE SANT JERONI</t>
  </si>
  <si>
    <t>LLANERA DE RANES</t>
  </si>
  <si>
    <t>MIRAMAR</t>
  </si>
  <si>
    <t>MOIXENT</t>
  </si>
  <si>
    <t>MONTAVERNER</t>
  </si>
  <si>
    <t>MONTESA</t>
  </si>
  <si>
    <t>OLIVA</t>
  </si>
  <si>
    <t>ONTINYENT</t>
  </si>
  <si>
    <t>OTOS</t>
  </si>
  <si>
    <t>PALMA DE GANDIA</t>
  </si>
  <si>
    <t>PALMERA</t>
  </si>
  <si>
    <t>EL PALOMAR</t>
  </si>
  <si>
    <t>PILES</t>
  </si>
  <si>
    <t>PINET</t>
  </si>
  <si>
    <t>POTRIES</t>
  </si>
  <si>
    <t>QUESA</t>
  </si>
  <si>
    <t>RAFELCOFER</t>
  </si>
  <si>
    <t>ROTGLÀ I CORBERÀ</t>
  </si>
  <si>
    <t>RUGAT</t>
  </si>
  <si>
    <t>SALEM</t>
  </si>
  <si>
    <t>SEMPERE</t>
  </si>
  <si>
    <t>TERESA DE COFRENTES</t>
  </si>
  <si>
    <t>TERRATEIG</t>
  </si>
  <si>
    <t>TORRELLA</t>
  </si>
  <si>
    <t>VALLADA</t>
  </si>
  <si>
    <t>ZARRA</t>
  </si>
  <si>
    <r>
      <t>S</t>
    </r>
    <r>
      <rPr>
        <b/>
        <sz val="10"/>
        <rFont val="Arial"/>
        <family val="2"/>
      </rPr>
      <t>NUPi</t>
    </r>
  </si>
  <si>
    <t>UT (2025)</t>
  </si>
  <si>
    <t>alfarrasí</t>
  </si>
  <si>
    <t>ALMISERà</t>
  </si>
  <si>
    <t>BèLGIDA</t>
  </si>
  <si>
    <t>BENIARJó</t>
  </si>
  <si>
    <t>BENIFLà</t>
  </si>
  <si>
    <t>BELLúS</t>
  </si>
  <si>
    <t>BENIGàNIM</t>
  </si>
  <si>
    <t>BENIRREDRà</t>
  </si>
  <si>
    <t>BENISSUERA</t>
  </si>
  <si>
    <t>CARRíCOLA</t>
  </si>
  <si>
    <t>CASTELLÓ DE RUGAT</t>
  </si>
  <si>
    <t>CERDÀ</t>
  </si>
  <si>
    <t>DAIMÚS</t>
  </si>
  <si>
    <t>EL GENOVÉS</t>
  </si>
  <si>
    <t>EL REAL DE GANDIA</t>
  </si>
  <si>
    <t>GUADASSÉQUIES</t>
  </si>
  <si>
    <t>LA FONT DE LA FIGUERA</t>
  </si>
  <si>
    <t>la GRANJA DE LA COSTERA</t>
  </si>
  <si>
    <t>LA LLOSA DE RANES</t>
  </si>
  <si>
    <t>LA POBLA DEL DUC</t>
  </si>
  <si>
    <t>L'ALCUDIA DE CRESPINS</t>
  </si>
  <si>
    <t>L'OLLERIA</t>
  </si>
  <si>
    <t>MONTIXELVO</t>
  </si>
  <si>
    <t>NAVARRÉS</t>
  </si>
  <si>
    <t>NOVETLÈ</t>
  </si>
  <si>
    <t>RÀFOL DE SALEM</t>
  </si>
  <si>
    <t>RÒTOVA</t>
  </si>
  <si>
    <t>VALLÉS</t>
  </si>
  <si>
    <t>VILALLONGA</t>
  </si>
  <si>
    <t>XÀTIVA</t>
  </si>
  <si>
    <t>L'ALQUERIA DE LA COMTESSA</t>
  </si>
  <si>
    <t>Bonifiaciones</t>
  </si>
  <si>
    <t>Total coste (SIN impuesto vertedero)</t>
  </si>
  <si>
    <t>Convenio adminstrativoCANALS - Secretaría</t>
  </si>
  <si>
    <t>Crum+Cfors+Cecop+CIERUM+CIEFORS-ingresos dif tasa - insolvencias</t>
  </si>
  <si>
    <t>CIE rum+ CIE fors</t>
  </si>
  <si>
    <t>3% CE</t>
  </si>
  <si>
    <t>3% coste servicio</t>
  </si>
  <si>
    <t>3% impuesto vertedro</t>
  </si>
  <si>
    <t>El 1% de lo recaudado en voluntaria (84%)</t>
  </si>
  <si>
    <t>coste emisiones GEI</t>
  </si>
  <si>
    <t>ECOPARQUES</t>
  </si>
  <si>
    <t>FUNCIONAMIENTO COR</t>
  </si>
  <si>
    <t>EL MEU COMPTE AMBIENTAL</t>
  </si>
  <si>
    <t>PREVISIÓN INSOLVENCIAS Y GESTIÓN DE RECAUDACIÓN</t>
  </si>
  <si>
    <t>INVERSIONES INDIRECTAS</t>
  </si>
  <si>
    <t>OTROS(COMPENSACIÓN MUNICIPIOS)</t>
  </si>
  <si>
    <t>ALCUDIA DE CRESPINS, L</t>
  </si>
  <si>
    <t>ALFARRASI</t>
  </si>
  <si>
    <t>ALMISERA</t>
  </si>
  <si>
    <t>ALQUERIA DE LA COMTESSA,L</t>
  </si>
  <si>
    <t>BELGIDA</t>
  </si>
  <si>
    <t>BELLUS</t>
  </si>
  <si>
    <t>BENIARJO</t>
  </si>
  <si>
    <t>BENIFLA</t>
  </si>
  <si>
    <t>BENIGANIM</t>
  </si>
  <si>
    <t>BENIRREDRA</t>
  </si>
  <si>
    <t>BENISUERA</t>
  </si>
  <si>
    <t>CARRICOLA</t>
  </si>
  <si>
    <t>CASTELLO DE RUGAT</t>
  </si>
  <si>
    <t>CERDA</t>
  </si>
  <si>
    <t>DAIMUS</t>
  </si>
  <si>
    <t>FONT D'EN CARROS, LA</t>
  </si>
  <si>
    <t>FONT DE LA FIGUERA, LA</t>
  </si>
  <si>
    <t>GENOVES</t>
  </si>
  <si>
    <t>GRANJA DE LA COSTERA, LA</t>
  </si>
  <si>
    <t>GUADASSEQUIES</t>
  </si>
  <si>
    <t>XATIVA</t>
  </si>
  <si>
    <t>LLOSA DE RANES</t>
  </si>
  <si>
    <t>MONTICHELVO</t>
  </si>
  <si>
    <t>NAVARRES</t>
  </si>
  <si>
    <t>NOVETLE</t>
  </si>
  <si>
    <t>OLLERIA, L'</t>
  </si>
  <si>
    <t>PALOMAR</t>
  </si>
  <si>
    <t>POBLA DEL DUC, LA</t>
  </si>
  <si>
    <t>RAFOL DE SALEM</t>
  </si>
  <si>
    <t>REAL DE GANDIA</t>
  </si>
  <si>
    <t>ROTGLA I CORBERA</t>
  </si>
  <si>
    <t>ROTOVA</t>
  </si>
  <si>
    <t>VALLES</t>
  </si>
  <si>
    <t>VILLALONGA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</si>
</sst>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&quot; €&quot;_-;\-* #,##0.00&quot; €&quot;_-;_-* \-??&quot; €&quot;_-;_-@_-"/>
    <numFmt numFmtId="165" formatCode="0.000"/>
    <numFmt numFmtId="166" formatCode="_-* #,##0.00\ _€_-;\-* #,##0.00\ _€_-;_-* &quot;-&quot;??\ _€_-;_-@_-"/>
    <numFmt numFmtId="167" formatCode="_-* #,##0.000&quot; €&quot;_-;\-* #,##0.000&quot; €&quot;_-;_-* \-??&quot; €&quot;_-;_-@_-"/>
    <numFmt numFmtId="168" formatCode="_-* #,##0.0000&quot; €&quot;_-;\-* #,##0.0000&quot; €&quot;_-;_-* \-??&quot; €&quot;_-;_-@_-"/>
    <numFmt numFmtId="169" formatCode="0.000000000000"/>
    <numFmt numFmtId="170" formatCode="#,##0.000000000000"/>
    <numFmt numFmtId="171" formatCode="0.00000000000"/>
    <numFmt numFmtId="172" formatCode="#,##0.000\ &quot;€&quot;;\-#,##0.000\ &quot;€&quot;"/>
    <numFmt numFmtId="173" formatCode="#,##0.000"/>
    <numFmt numFmtId="174" formatCode="0.00_ ;[Red]\-0.00\ 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color indexed="8"/>
      <name val="Times New Roman"/>
      <family val="1"/>
    </font>
    <font>
      <b/>
      <sz val="10"/>
      <name val="GreekS"/>
    </font>
    <font>
      <sz val="20"/>
      <name val="Arial"/>
      <family val="2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rgb="FF000000"/>
      <name val="Calibri"/>
      <family val="2"/>
    </font>
    <font>
      <sz val="11"/>
      <color rgb="FF00B0F0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FF0000"/>
      <name val="Times New Roman"/>
      <family val="1"/>
    </font>
    <font>
      <sz val="11"/>
      <color theme="1"/>
      <name val="Arial"/>
      <family val="2"/>
    </font>
    <font>
      <b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27"/>
      </patternFill>
    </fill>
    <fill>
      <patternFill patternType="solid">
        <fgColor indexed="50"/>
        <bgColor indexed="27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92D050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7E4BD"/>
        <bgColor rgb="FFE2F0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254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10" fontId="0" fillId="0" borderId="0" xfId="1" applyNumberFormat="1" applyFont="1"/>
    <xf numFmtId="10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0" fillId="2" borderId="0" xfId="0" applyFill="1" applyAlignment="1">
      <alignment horizontal="left"/>
    </xf>
    <xf numFmtId="4" fontId="2" fillId="0" borderId="0" xfId="0" applyNumberFormat="1" applyFont="1"/>
    <xf numFmtId="10" fontId="0" fillId="2" borderId="0" xfId="1" applyNumberFormat="1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9" fontId="0" fillId="0" borderId="0" xfId="1" applyFont="1"/>
    <xf numFmtId="2" fontId="0" fillId="0" borderId="0" xfId="0" applyNumberFormat="1"/>
    <xf numFmtId="0" fontId="3" fillId="0" borderId="0" xfId="0" applyFont="1"/>
    <xf numFmtId="165" fontId="5" fillId="3" borderId="0" xfId="3" applyNumberFormat="1" applyFont="1" applyFill="1" applyBorder="1" applyAlignment="1" applyProtection="1">
      <alignment horizontal="left"/>
    </xf>
    <xf numFmtId="0" fontId="6" fillId="0" borderId="0" xfId="0" applyFont="1"/>
    <xf numFmtId="2" fontId="6" fillId="0" borderId="0" xfId="0" applyNumberFormat="1" applyFont="1"/>
    <xf numFmtId="44" fontId="6" fillId="0" borderId="0" xfId="3" applyFont="1" applyFill="1" applyBorder="1" applyAlignment="1" applyProtection="1"/>
    <xf numFmtId="164" fontId="6" fillId="0" borderId="0" xfId="0" applyNumberFormat="1" applyFont="1"/>
    <xf numFmtId="44" fontId="1" fillId="0" borderId="0" xfId="3"/>
    <xf numFmtId="10" fontId="1" fillId="0" borderId="0" xfId="1" applyNumberFormat="1"/>
    <xf numFmtId="0" fontId="5" fillId="4" borderId="0" xfId="0" applyFont="1" applyFill="1" applyAlignment="1">
      <alignment horizontal="right"/>
    </xf>
    <xf numFmtId="0" fontId="6" fillId="4" borderId="0" xfId="0" applyFont="1" applyFill="1"/>
    <xf numFmtId="44" fontId="7" fillId="4" borderId="0" xfId="3" applyFont="1" applyFill="1" applyBorder="1"/>
    <xf numFmtId="49" fontId="5" fillId="0" borderId="0" xfId="0" applyNumberFormat="1" applyFont="1"/>
    <xf numFmtId="44" fontId="1" fillId="3" borderId="0" xfId="3" applyFill="1"/>
    <xf numFmtId="0" fontId="6" fillId="0" borderId="0" xfId="0" applyFont="1" applyAlignment="1">
      <alignment horizontal="right"/>
    </xf>
    <xf numFmtId="0" fontId="5" fillId="4" borderId="1" xfId="0" applyFont="1" applyFill="1" applyBorder="1" applyAlignment="1">
      <alignment horizontal="right"/>
    </xf>
    <xf numFmtId="49" fontId="5" fillId="4" borderId="1" xfId="0" applyNumberFormat="1" applyFont="1" applyFill="1" applyBorder="1"/>
    <xf numFmtId="0" fontId="6" fillId="4" borderId="1" xfId="0" applyFont="1" applyFill="1" applyBorder="1"/>
    <xf numFmtId="44" fontId="7" fillId="4" borderId="2" xfId="3" applyFont="1" applyFill="1" applyBorder="1"/>
    <xf numFmtId="0" fontId="5" fillId="0" borderId="0" xfId="0" applyFont="1"/>
    <xf numFmtId="49" fontId="5" fillId="4" borderId="3" xfId="0" applyNumberFormat="1" applyFont="1" applyFill="1" applyBorder="1"/>
    <xf numFmtId="44" fontId="7" fillId="4" borderId="4" xfId="3" applyFont="1" applyFill="1" applyBorder="1"/>
    <xf numFmtId="4" fontId="0" fillId="5" borderId="0" xfId="0" applyNumberFormat="1" applyFill="1" applyAlignment="1">
      <alignment horizontal="right"/>
    </xf>
    <xf numFmtId="0" fontId="5" fillId="4" borderId="6" xfId="0" applyFont="1" applyFill="1" applyBorder="1"/>
    <xf numFmtId="0" fontId="6" fillId="0" borderId="7" xfId="0" applyFont="1" applyBorder="1"/>
    <xf numFmtId="4" fontId="6" fillId="0" borderId="7" xfId="0" applyNumberFormat="1" applyFont="1" applyBorder="1"/>
    <xf numFmtId="4" fontId="6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0" fontId="6" fillId="0" borderId="7" xfId="0" applyFont="1" applyBorder="1" applyAlignment="1">
      <alignment wrapText="1"/>
    </xf>
    <xf numFmtId="4" fontId="5" fillId="4" borderId="8" xfId="0" applyNumberFormat="1" applyFont="1" applyFill="1" applyBorder="1"/>
    <xf numFmtId="49" fontId="5" fillId="4" borderId="0" xfId="0" applyNumberFormat="1" applyFont="1" applyFill="1"/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6" fillId="0" borderId="0" xfId="0" applyFont="1" applyAlignment="1">
      <alignment vertical="top" wrapText="1"/>
    </xf>
    <xf numFmtId="4" fontId="6" fillId="4" borderId="0" xfId="2" applyNumberFormat="1" applyFont="1" applyFill="1" applyBorder="1" applyAlignment="1" applyProtection="1">
      <alignment horizontal="right"/>
    </xf>
    <xf numFmtId="4" fontId="5" fillId="4" borderId="8" xfId="2" applyNumberFormat="1" applyFont="1" applyFill="1" applyBorder="1" applyAlignment="1" applyProtection="1">
      <alignment horizontal="right"/>
    </xf>
    <xf numFmtId="4" fontId="6" fillId="0" borderId="0" xfId="2" applyNumberFormat="1" applyFont="1" applyFill="1" applyBorder="1" applyAlignment="1" applyProtection="1">
      <alignment horizontal="right"/>
    </xf>
    <xf numFmtId="4" fontId="5" fillId="0" borderId="0" xfId="2" applyNumberFormat="1" applyFont="1" applyFill="1" applyBorder="1" applyAlignment="1" applyProtection="1">
      <alignment horizontal="right"/>
    </xf>
    <xf numFmtId="4" fontId="6" fillId="4" borderId="0" xfId="0" applyNumberFormat="1" applyFont="1" applyFill="1"/>
    <xf numFmtId="43" fontId="5" fillId="4" borderId="8" xfId="2" applyFont="1" applyFill="1" applyBorder="1" applyAlignment="1" applyProtection="1"/>
    <xf numFmtId="0" fontId="11" fillId="7" borderId="9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center" vertical="center"/>
    </xf>
    <xf numFmtId="166" fontId="6" fillId="0" borderId="0" xfId="0" applyNumberFormat="1" applyFont="1"/>
    <xf numFmtId="0" fontId="5" fillId="0" borderId="0" xfId="0" applyFont="1" applyAlignment="1">
      <alignment horizontal="left"/>
    </xf>
    <xf numFmtId="4" fontId="7" fillId="0" borderId="0" xfId="0" applyNumberFormat="1" applyFont="1"/>
    <xf numFmtId="0" fontId="5" fillId="8" borderId="14" xfId="0" applyFont="1" applyFill="1" applyBorder="1" applyAlignment="1">
      <alignment horizontal="right" vertical="center" wrapText="1" shrinkToFit="1"/>
    </xf>
    <xf numFmtId="0" fontId="6" fillId="0" borderId="0" xfId="0" applyFont="1" applyAlignment="1">
      <alignment horizontal="left"/>
    </xf>
    <xf numFmtId="167" fontId="7" fillId="10" borderId="0" xfId="3" applyNumberFormat="1" applyFont="1" applyFill="1" applyAlignment="1">
      <alignment horizontal="right" vertical="center"/>
    </xf>
    <xf numFmtId="168" fontId="7" fillId="10" borderId="0" xfId="3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9" fontId="6" fillId="0" borderId="0" xfId="1" applyFont="1" applyFill="1" applyBorder="1" applyAlignment="1" applyProtection="1"/>
    <xf numFmtId="0" fontId="5" fillId="10" borderId="0" xfId="0" applyFont="1" applyFill="1" applyAlignment="1">
      <alignment horizontal="right" vertical="center"/>
    </xf>
    <xf numFmtId="0" fontId="5" fillId="10" borderId="0" xfId="0" applyFont="1" applyFill="1"/>
    <xf numFmtId="44" fontId="7" fillId="10" borderId="0" xfId="3" applyFont="1" applyFill="1"/>
    <xf numFmtId="44" fontId="7" fillId="11" borderId="0" xfId="3" applyFont="1" applyFill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2" fontId="13" fillId="0" borderId="0" xfId="0" applyNumberFormat="1" applyFont="1" applyAlignment="1">
      <alignment horizontal="left"/>
    </xf>
    <xf numFmtId="0" fontId="14" fillId="12" borderId="9" xfId="0" applyFont="1" applyFill="1" applyBorder="1" applyAlignment="1">
      <alignment horizontal="left" vertical="center"/>
    </xf>
    <xf numFmtId="0" fontId="14" fillId="12" borderId="10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wrapText="1"/>
    </xf>
    <xf numFmtId="4" fontId="0" fillId="0" borderId="16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9" fontId="6" fillId="0" borderId="0" xfId="0" applyNumberFormat="1" applyFont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4" fontId="6" fillId="0" borderId="20" xfId="0" applyNumberFormat="1" applyFont="1" applyBorder="1"/>
    <xf numFmtId="0" fontId="6" fillId="0" borderId="21" xfId="0" applyFont="1" applyBorder="1"/>
    <xf numFmtId="0" fontId="6" fillId="14" borderId="20" xfId="0" applyFont="1" applyFill="1" applyBorder="1"/>
    <xf numFmtId="0" fontId="6" fillId="14" borderId="0" xfId="0" applyFont="1" applyFill="1"/>
    <xf numFmtId="0" fontId="6" fillId="14" borderId="21" xfId="0" applyFont="1" applyFill="1" applyBorder="1"/>
    <xf numFmtId="0" fontId="6" fillId="14" borderId="22" xfId="0" applyFont="1" applyFill="1" applyBorder="1"/>
    <xf numFmtId="0" fontId="5" fillId="14" borderId="23" xfId="0" applyFont="1" applyFill="1" applyBorder="1"/>
    <xf numFmtId="0" fontId="5" fillId="14" borderId="24" xfId="0" applyFont="1" applyFill="1" applyBorder="1"/>
    <xf numFmtId="4" fontId="5" fillId="13" borderId="0" xfId="0" applyNumberFormat="1" applyFont="1" applyFill="1" applyAlignment="1">
      <alignment horizontal="center" wrapText="1"/>
    </xf>
    <xf numFmtId="0" fontId="5" fillId="15" borderId="7" xfId="0" applyFont="1" applyFill="1" applyBorder="1" applyAlignment="1">
      <alignment vertical="center"/>
    </xf>
    <xf numFmtId="0" fontId="5" fillId="16" borderId="25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horizontal="center" vertical="center" wrapText="1"/>
    </xf>
    <xf numFmtId="0" fontId="5" fillId="18" borderId="26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4" fontId="0" fillId="0" borderId="7" xfId="0" applyNumberFormat="1" applyBorder="1"/>
    <xf numFmtId="44" fontId="1" fillId="0" borderId="7" xfId="3" applyBorder="1"/>
    <xf numFmtId="44" fontId="1" fillId="0" borderId="7" xfId="3" applyFill="1" applyBorder="1"/>
    <xf numFmtId="3" fontId="0" fillId="0" borderId="7" xfId="0" applyNumberFormat="1" applyBorder="1"/>
    <xf numFmtId="2" fontId="0" fillId="10" borderId="7" xfId="0" applyNumberFormat="1" applyFill="1" applyBorder="1"/>
    <xf numFmtId="2" fontId="0" fillId="0" borderId="7" xfId="0" applyNumberFormat="1" applyBorder="1"/>
    <xf numFmtId="0" fontId="0" fillId="0" borderId="7" xfId="4" applyFont="1" applyBorder="1"/>
    <xf numFmtId="0" fontId="0" fillId="0" borderId="7" xfId="4" applyFont="1" applyBorder="1" applyAlignment="1">
      <alignment vertical="center"/>
    </xf>
    <xf numFmtId="0" fontId="5" fillId="15" borderId="7" xfId="0" applyFont="1" applyFill="1" applyBorder="1" applyAlignment="1">
      <alignment vertical="center" wrapText="1"/>
    </xf>
    <xf numFmtId="0" fontId="5" fillId="17" borderId="25" xfId="0" applyFont="1" applyFill="1" applyBorder="1" applyAlignment="1">
      <alignment horizontal="center" vertical="center" wrapText="1"/>
    </xf>
    <xf numFmtId="44" fontId="1" fillId="19" borderId="7" xfId="3" applyFill="1" applyBorder="1" applyAlignment="1">
      <alignment horizontal="center" vertical="center" wrapText="1"/>
    </xf>
    <xf numFmtId="0" fontId="5" fillId="18" borderId="7" xfId="0" applyFont="1" applyFill="1" applyBorder="1" applyAlignment="1">
      <alignment vertical="center" wrapText="1"/>
    </xf>
    <xf numFmtId="0" fontId="0" fillId="0" borderId="7" xfId="0" applyBorder="1"/>
    <xf numFmtId="0" fontId="5" fillId="0" borderId="7" xfId="0" applyFont="1" applyBorder="1" applyAlignment="1">
      <alignment horizontal="right"/>
    </xf>
    <xf numFmtId="4" fontId="7" fillId="0" borderId="7" xfId="0" applyNumberFormat="1" applyFont="1" applyBorder="1"/>
    <xf numFmtId="44" fontId="7" fillId="0" borderId="7" xfId="3" applyFont="1" applyBorder="1"/>
    <xf numFmtId="44" fontId="7" fillId="11" borderId="7" xfId="3" applyFont="1" applyFill="1" applyBorder="1"/>
    <xf numFmtId="44" fontId="7" fillId="0" borderId="7" xfId="3" applyFont="1" applyFill="1" applyBorder="1"/>
    <xf numFmtId="4" fontId="7" fillId="20" borderId="0" xfId="0" applyNumberFormat="1" applyFont="1" applyFill="1"/>
    <xf numFmtId="44" fontId="1" fillId="20" borderId="0" xfId="3" applyFill="1" applyBorder="1"/>
    <xf numFmtId="4" fontId="7" fillId="0" borderId="0" xfId="0" applyNumberFormat="1" applyFont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center" vertical="center" wrapText="1"/>
    </xf>
    <xf numFmtId="170" fontId="0" fillId="0" borderId="0" xfId="0" applyNumberFormat="1"/>
    <xf numFmtId="0" fontId="7" fillId="0" borderId="0" xfId="0" applyFont="1" applyAlignment="1">
      <alignment horizontal="right"/>
    </xf>
    <xf numFmtId="166" fontId="0" fillId="0" borderId="0" xfId="0" applyNumberFormat="1"/>
    <xf numFmtId="166" fontId="0" fillId="10" borderId="0" xfId="0" applyNumberFormat="1" applyFill="1"/>
    <xf numFmtId="0" fontId="0" fillId="10" borderId="0" xfId="0" applyFill="1"/>
    <xf numFmtId="44" fontId="1" fillId="0" borderId="0" xfId="3" applyBorder="1"/>
    <xf numFmtId="171" fontId="0" fillId="0" borderId="0" xfId="0" applyNumberFormat="1"/>
    <xf numFmtId="7" fontId="0" fillId="0" borderId="0" xfId="0" applyNumberFormat="1"/>
    <xf numFmtId="0" fontId="7" fillId="22" borderId="28" xfId="0" applyFont="1" applyFill="1" applyBorder="1"/>
    <xf numFmtId="0" fontId="0" fillId="22" borderId="29" xfId="0" applyFill="1" applyBorder="1"/>
    <xf numFmtId="0" fontId="0" fillId="22" borderId="30" xfId="0" applyFill="1" applyBorder="1"/>
    <xf numFmtId="0" fontId="0" fillId="0" borderId="31" xfId="0" applyBorder="1"/>
    <xf numFmtId="0" fontId="0" fillId="0" borderId="32" xfId="0" applyBorder="1"/>
    <xf numFmtId="0" fontId="6" fillId="0" borderId="31" xfId="0" applyFont="1" applyBorder="1"/>
    <xf numFmtId="4" fontId="0" fillId="0" borderId="7" xfId="0" applyNumberFormat="1" applyBorder="1" applyAlignment="1">
      <alignment horizontal="right"/>
    </xf>
    <xf numFmtId="7" fontId="0" fillId="0" borderId="32" xfId="0" applyNumberFormat="1" applyBorder="1"/>
    <xf numFmtId="44" fontId="0" fillId="0" borderId="32" xfId="0" applyNumberFormat="1" applyBorder="1"/>
    <xf numFmtId="44" fontId="0" fillId="0" borderId="0" xfId="0" applyNumberFormat="1"/>
    <xf numFmtId="0" fontId="7" fillId="0" borderId="33" xfId="0" applyFont="1" applyBorder="1" applyAlignment="1">
      <alignment horizontal="right"/>
    </xf>
    <xf numFmtId="0" fontId="0" fillId="0" borderId="34" xfId="0" applyBorder="1"/>
    <xf numFmtId="7" fontId="7" fillId="0" borderId="35" xfId="0" applyNumberFormat="1" applyFont="1" applyBorder="1"/>
    <xf numFmtId="0" fontId="7" fillId="22" borderId="29" xfId="0" applyFont="1" applyFill="1" applyBorder="1"/>
    <xf numFmtId="7" fontId="7" fillId="22" borderId="30" xfId="0" applyNumberFormat="1" applyFont="1" applyFill="1" applyBorder="1"/>
    <xf numFmtId="0" fontId="0" fillId="0" borderId="31" xfId="0" applyBorder="1" applyAlignment="1">
      <alignment wrapText="1"/>
    </xf>
    <xf numFmtId="0" fontId="7" fillId="0" borderId="34" xfId="0" applyFont="1" applyBorder="1"/>
    <xf numFmtId="0" fontId="7" fillId="21" borderId="36" xfId="0" applyFont="1" applyFill="1" applyBorder="1"/>
    <xf numFmtId="0" fontId="7" fillId="21" borderId="37" xfId="0" applyFont="1" applyFill="1" applyBorder="1"/>
    <xf numFmtId="7" fontId="7" fillId="21" borderId="38" xfId="0" applyNumberFormat="1" applyFont="1" applyFill="1" applyBorder="1"/>
    <xf numFmtId="0" fontId="0" fillId="11" borderId="39" xfId="0" applyFill="1" applyBorder="1"/>
    <xf numFmtId="4" fontId="0" fillId="0" borderId="40" xfId="0" applyNumberFormat="1" applyBorder="1"/>
    <xf numFmtId="7" fontId="0" fillId="0" borderId="41" xfId="0" applyNumberFormat="1" applyBorder="1"/>
    <xf numFmtId="0" fontId="7" fillId="22" borderId="11" xfId="0" applyFont="1" applyFill="1" applyBorder="1"/>
    <xf numFmtId="0" fontId="7" fillId="22" borderId="27" xfId="0" applyFont="1" applyFill="1" applyBorder="1"/>
    <xf numFmtId="172" fontId="7" fillId="22" borderId="42" xfId="0" applyNumberFormat="1" applyFont="1" applyFill="1" applyBorder="1"/>
    <xf numFmtId="0" fontId="7" fillId="11" borderId="0" xfId="0" applyFont="1" applyFill="1" applyAlignment="1">
      <alignment horizontal="center"/>
    </xf>
    <xf numFmtId="173" fontId="18" fillId="23" borderId="43" xfId="0" applyNumberFormat="1" applyFont="1" applyFill="1" applyBorder="1" applyAlignment="1">
      <alignment horizontal="center" wrapText="1" shrinkToFit="1"/>
    </xf>
    <xf numFmtId="173" fontId="18" fillId="23" borderId="25" xfId="0" applyNumberFormat="1" applyFont="1" applyFill="1" applyBorder="1" applyAlignment="1">
      <alignment horizontal="center" wrapText="1" shrinkToFit="1"/>
    </xf>
    <xf numFmtId="173" fontId="18" fillId="23" borderId="41" xfId="0" applyNumberFormat="1" applyFont="1" applyFill="1" applyBorder="1" applyAlignment="1">
      <alignment horizontal="center" wrapText="1" shrinkToFit="1"/>
    </xf>
    <xf numFmtId="173" fontId="18" fillId="11" borderId="40" xfId="0" applyNumberFormat="1" applyFont="1" applyFill="1" applyBorder="1" applyAlignment="1">
      <alignment horizontal="center" wrapText="1" shrinkToFit="1"/>
    </xf>
    <xf numFmtId="173" fontId="18" fillId="11" borderId="25" xfId="0" applyNumberFormat="1" applyFont="1" applyFill="1" applyBorder="1" applyAlignment="1">
      <alignment horizontal="center" wrapText="1" shrinkToFit="1"/>
    </xf>
    <xf numFmtId="0" fontId="0" fillId="11" borderId="25" xfId="0" applyFill="1" applyBorder="1"/>
    <xf numFmtId="2" fontId="0" fillId="3" borderId="26" xfId="0" applyNumberFormat="1" applyFill="1" applyBorder="1"/>
    <xf numFmtId="0" fontId="0" fillId="10" borderId="26" xfId="0" applyFill="1" applyBorder="1"/>
    <xf numFmtId="2" fontId="0" fillId="3" borderId="0" xfId="0" applyNumberFormat="1" applyFill="1"/>
    <xf numFmtId="0" fontId="0" fillId="3" borderId="0" xfId="0" applyFill="1"/>
    <xf numFmtId="0" fontId="21" fillId="24" borderId="44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4" fontId="0" fillId="10" borderId="33" xfId="0" applyNumberFormat="1" applyFill="1" applyBorder="1"/>
    <xf numFmtId="4" fontId="0" fillId="10" borderId="34" xfId="0" applyNumberFormat="1" applyFill="1" applyBorder="1"/>
    <xf numFmtId="4" fontId="0" fillId="10" borderId="35" xfId="0" applyNumberFormat="1" applyFill="1" applyBorder="1"/>
    <xf numFmtId="0" fontId="0" fillId="25" borderId="0" xfId="0" applyFill="1"/>
    <xf numFmtId="4" fontId="0" fillId="25" borderId="0" xfId="0" applyNumberFormat="1" applyFill="1"/>
    <xf numFmtId="0" fontId="0" fillId="26" borderId="0" xfId="0" applyFill="1" applyAlignment="1">
      <alignment horizontal="right"/>
    </xf>
    <xf numFmtId="4" fontId="0" fillId="26" borderId="0" xfId="0" applyNumberFormat="1" applyFill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25" borderId="0" xfId="0" applyNumberFormat="1" applyFont="1" applyFill="1" applyAlignment="1">
      <alignment horizontal="center"/>
    </xf>
    <xf numFmtId="4" fontId="2" fillId="11" borderId="0" xfId="0" applyNumberFormat="1" applyFont="1" applyFill="1"/>
    <xf numFmtId="0" fontId="0" fillId="11" borderId="0" xfId="0" applyFill="1" applyAlignment="1">
      <alignment horizontal="center"/>
    </xf>
    <xf numFmtId="4" fontId="2" fillId="27" borderId="0" xfId="0" applyNumberFormat="1" applyFont="1" applyFill="1"/>
    <xf numFmtId="0" fontId="2" fillId="27" borderId="0" xfId="0" applyFont="1" applyFill="1" applyAlignment="1">
      <alignment horizontal="right"/>
    </xf>
    <xf numFmtId="0" fontId="24" fillId="0" borderId="44" xfId="0" applyFont="1" applyBorder="1" applyAlignment="1">
      <alignment horizontal="center" vertical="center" wrapText="1"/>
    </xf>
    <xf numFmtId="0" fontId="24" fillId="0" borderId="31" xfId="0" applyFont="1" applyBorder="1"/>
    <xf numFmtId="2" fontId="24" fillId="3" borderId="26" xfId="0" applyNumberFormat="1" applyFont="1" applyFill="1" applyBorder="1"/>
    <xf numFmtId="0" fontId="24" fillId="0" borderId="7" xfId="0" applyFont="1" applyBorder="1"/>
    <xf numFmtId="173" fontId="18" fillId="0" borderId="0" xfId="0" applyNumberFormat="1" applyFont="1" applyAlignment="1">
      <alignment horizontal="center" wrapText="1" shrinkToFit="1"/>
    </xf>
    <xf numFmtId="173" fontId="18" fillId="0" borderId="0" xfId="0" applyNumberFormat="1" applyFont="1" applyAlignment="1">
      <alignment horizontal="center" vertical="center" wrapText="1" shrinkToFit="1"/>
    </xf>
    <xf numFmtId="4" fontId="0" fillId="0" borderId="31" xfId="0" applyNumberFormat="1" applyBorder="1"/>
    <xf numFmtId="4" fontId="24" fillId="0" borderId="31" xfId="0" applyNumberFormat="1" applyFont="1" applyBorder="1"/>
    <xf numFmtId="0" fontId="24" fillId="0" borderId="0" xfId="0" applyFont="1"/>
    <xf numFmtId="173" fontId="0" fillId="0" borderId="0" xfId="0" applyNumberFormat="1"/>
    <xf numFmtId="4" fontId="24" fillId="0" borderId="0" xfId="0" applyNumberFormat="1" applyFont="1"/>
    <xf numFmtId="4" fontId="3" fillId="0" borderId="0" xfId="0" applyNumberFormat="1" applyFont="1"/>
    <xf numFmtId="0" fontId="26" fillId="0" borderId="7" xfId="0" applyFont="1" applyBorder="1"/>
    <xf numFmtId="0" fontId="6" fillId="3" borderId="7" xfId="0" applyFont="1" applyFill="1" applyBorder="1" applyAlignment="1">
      <alignment wrapText="1"/>
    </xf>
    <xf numFmtId="4" fontId="6" fillId="3" borderId="7" xfId="0" applyNumberFormat="1" applyFont="1" applyFill="1" applyBorder="1"/>
    <xf numFmtId="0" fontId="4" fillId="0" borderId="0" xfId="4"/>
    <xf numFmtId="0" fontId="27" fillId="10" borderId="45" xfId="0" applyFont="1" applyFill="1" applyBorder="1"/>
    <xf numFmtId="0" fontId="16" fillId="0" borderId="0" xfId="4" applyFont="1" applyAlignment="1">
      <alignment horizontal="right"/>
    </xf>
    <xf numFmtId="174" fontId="4" fillId="0" borderId="0" xfId="4" applyNumberFormat="1"/>
    <xf numFmtId="7" fontId="0" fillId="3" borderId="32" xfId="0" applyNumberFormat="1" applyFill="1" applyBorder="1"/>
    <xf numFmtId="44" fontId="6" fillId="0" borderId="0" xfId="0" applyNumberFormat="1" applyFont="1"/>
    <xf numFmtId="7" fontId="1" fillId="0" borderId="0" xfId="3" applyNumberFormat="1"/>
    <xf numFmtId="0" fontId="28" fillId="0" borderId="0" xfId="0" applyFont="1" applyAlignment="1">
      <alignment horizontal="left"/>
    </xf>
    <xf numFmtId="4" fontId="10" fillId="0" borderId="0" xfId="0" applyNumberFormat="1" applyFont="1"/>
    <xf numFmtId="2" fontId="24" fillId="0" borderId="0" xfId="0" applyNumberFormat="1" applyFont="1"/>
    <xf numFmtId="10" fontId="24" fillId="0" borderId="0" xfId="1" applyNumberFormat="1" applyFont="1"/>
    <xf numFmtId="10" fontId="24" fillId="0" borderId="0" xfId="0" applyNumberFormat="1" applyFont="1"/>
    <xf numFmtId="4" fontId="6" fillId="25" borderId="7" xfId="0" applyNumberFormat="1" applyFont="1" applyFill="1" applyBorder="1"/>
    <xf numFmtId="9" fontId="0" fillId="0" borderId="0" xfId="0" applyNumberFormat="1"/>
    <xf numFmtId="44" fontId="1" fillId="0" borderId="0" xfId="3" applyFill="1"/>
    <xf numFmtId="7" fontId="1" fillId="0" borderId="0" xfId="3" applyNumberFormat="1" applyFill="1"/>
    <xf numFmtId="7" fontId="29" fillId="0" borderId="0" xfId="3" applyNumberFormat="1" applyFont="1" applyFill="1"/>
    <xf numFmtId="7" fontId="30" fillId="0" borderId="0" xfId="3" applyNumberFormat="1" applyFont="1"/>
    <xf numFmtId="4" fontId="5" fillId="13" borderId="1" xfId="0" applyNumberFormat="1" applyFont="1" applyFill="1" applyBorder="1" applyAlignment="1">
      <alignment horizont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0" xfId="0" applyFont="1" applyFill="1" applyAlignment="1">
      <alignment horizontal="center" vertical="center"/>
    </xf>
    <xf numFmtId="0" fontId="11" fillId="13" borderId="5" xfId="0" applyFont="1" applyFill="1" applyBorder="1" applyAlignment="1">
      <alignment horizontal="left"/>
    </xf>
    <xf numFmtId="0" fontId="11" fillId="13" borderId="0" xfId="0" applyFont="1" applyFill="1" applyAlignment="1">
      <alignment horizontal="left"/>
    </xf>
    <xf numFmtId="0" fontId="5" fillId="4" borderId="11" xfId="0" applyFont="1" applyFill="1" applyBorder="1" applyAlignment="1">
      <alignment horizontal="right" wrapText="1"/>
    </xf>
    <xf numFmtId="0" fontId="5" fillId="4" borderId="12" xfId="0" applyFont="1" applyFill="1" applyBorder="1" applyAlignment="1">
      <alignment horizontal="right" wrapText="1"/>
    </xf>
    <xf numFmtId="4" fontId="5" fillId="4" borderId="13" xfId="0" applyNumberFormat="1" applyFont="1" applyFill="1" applyBorder="1" applyAlignment="1">
      <alignment horizontal="center" vertical="center"/>
    </xf>
    <xf numFmtId="4" fontId="5" fillId="9" borderId="15" xfId="0" applyNumberFormat="1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 vertical="center"/>
    </xf>
    <xf numFmtId="4" fontId="5" fillId="13" borderId="7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11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4" fontId="6" fillId="0" borderId="13" xfId="0" applyNumberFormat="1" applyFont="1" applyBorder="1" applyAlignment="1">
      <alignment horizontal="center" vertical="center"/>
    </xf>
    <xf numFmtId="0" fontId="7" fillId="21" borderId="11" xfId="0" applyFont="1" applyFill="1" applyBorder="1" applyAlignment="1">
      <alignment horizontal="center"/>
    </xf>
    <xf numFmtId="0" fontId="7" fillId="21" borderId="27" xfId="0" applyFont="1" applyFill="1" applyBorder="1" applyAlignment="1">
      <alignment horizontal="center"/>
    </xf>
    <xf numFmtId="0" fontId="7" fillId="21" borderId="12" xfId="0" applyFont="1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17" fillId="23" borderId="28" xfId="0" applyFont="1" applyFill="1" applyBorder="1" applyAlignment="1">
      <alignment horizontal="center"/>
    </xf>
    <xf numFmtId="0" fontId="17" fillId="23" borderId="29" xfId="0" applyFont="1" applyFill="1" applyBorder="1" applyAlignment="1">
      <alignment horizontal="center"/>
    </xf>
    <xf numFmtId="0" fontId="17" fillId="23" borderId="30" xfId="0" applyFont="1" applyFill="1" applyBorder="1" applyAlignment="1">
      <alignment horizontal="center"/>
    </xf>
    <xf numFmtId="174" fontId="27" fillId="0" borderId="46" xfId="0" applyNumberFormat="1" applyFont="1" applyBorder="1"/>
    <xf numFmtId="0" fontId="27" fillId="28" borderId="47" xfId="0" applyFont="1" applyFill="1" applyBorder="1"/>
    <xf numFmtId="174" fontId="27" fillId="0" borderId="48" xfId="0" applyNumberFormat="1" applyFont="1" applyBorder="1"/>
    <xf numFmtId="0" fontId="27" fillId="28" borderId="49" xfId="0" applyFont="1" applyFill="1" applyBorder="1"/>
    <xf numFmtId="174" fontId="27" fillId="0" borderId="50" xfId="0" applyNumberFormat="1" applyFont="1" applyBorder="1"/>
    <xf numFmtId="0" fontId="27" fillId="28" borderId="51" xfId="0" applyFont="1" applyFill="1" applyBorder="1"/>
  </cellXfs>
  <cellStyles count="5">
    <cellStyle name="Millares" xfId="2" builtinId="3"/>
    <cellStyle name="Moneda" xfId="3" builtinId="4"/>
    <cellStyle name="Normal" xfId="0" builtinId="0"/>
    <cellStyle name="Normal 2" xfId="4" xr:uid="{01093FD8-740F-45E4-B3F5-0344BDEC5BF5}"/>
    <cellStyle name="Porcentaje" xfId="1" builtinId="5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 DE LA TASA RUM Y FORS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D5-4F88-B825-06C0A31170D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8D5-4F88-B825-06C0A31170D8}"/>
              </c:ext>
            </c:extLst>
          </c:dPt>
          <c:dPt>
            <c:idx val="2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8D5-4F88-B825-06C0A31170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'COSTES 26'!$D$53:$D$55</c:f>
              <c:strCache>
                <c:ptCount val="3"/>
                <c:pt idx="0">
                  <c:v>COSTES TRANSFERENCIA Y TRANSPORTE</c:v>
                </c:pt>
                <c:pt idx="1">
                  <c:v>COSTES VALORIZACIÓN Y ELIMINACIÓN</c:v>
                </c:pt>
                <c:pt idx="2">
                  <c:v>COSTES CANON</c:v>
                </c:pt>
              </c:strCache>
            </c:strRef>
          </c:cat>
          <c:val>
            <c:numRef>
              <c:f>'COSTES 26'!$E$53:$E$55</c:f>
              <c:numCache>
                <c:formatCode>#,##0.00</c:formatCode>
                <c:ptCount val="3"/>
                <c:pt idx="0">
                  <c:v>4042962.9680000008</c:v>
                </c:pt>
                <c:pt idx="1">
                  <c:v>16937257.967049282</c:v>
                </c:pt>
                <c:pt idx="2">
                  <c:v>2380726.4768525395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2-4E2E-95A5-4E9FD58353C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8D5-4F88-B825-06C0A31170D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8D5-4F88-B825-06C0A31170D8}"/>
              </c:ext>
            </c:extLst>
          </c:dPt>
          <c:dPt>
            <c:idx val="2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8D5-4F88-B825-06C0A31170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'COSTES 26'!$D$53:$D$55</c:f>
              <c:strCache>
                <c:ptCount val="3"/>
                <c:pt idx="0">
                  <c:v>COSTES TRANSFERENCIA Y TRANSPORTE</c:v>
                </c:pt>
                <c:pt idx="1">
                  <c:v>COSTES VALORIZACIÓN Y ELIMINACIÓN</c:v>
                </c:pt>
                <c:pt idx="2">
                  <c:v>COSTES CANON</c:v>
                </c:pt>
              </c:strCache>
            </c:strRef>
          </c:cat>
          <c:val>
            <c:numRef>
              <c:f>'COSTES 26'!$G$53:$G$55</c:f>
              <c:numCache>
                <c:formatCode>0.00%</c:formatCode>
                <c:ptCount val="3"/>
                <c:pt idx="0">
                  <c:v>0.12655272660105168</c:v>
                </c:pt>
                <c:pt idx="1">
                  <c:v>0.53016962901735676</c:v>
                </c:pt>
                <c:pt idx="2">
                  <c:v>7.4521441161269714E-2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2-4E2E-95A5-4E9FD58353C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 TASA CON ECOPARQUES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3F-4C03-A0CC-7DBA7A6FE0D6}"/>
              </c:ext>
            </c:extLst>
          </c:dPt>
          <c:dPt>
            <c:idx val="1"/>
            <c:bubble3D val="0"/>
            <c:spPr>
              <a:solidFill>
                <a:schemeClr val="accent3">
                  <a:shade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3F-4C03-A0CC-7DBA7A6FE0D6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3F-4C03-A0CC-7DBA7A6FE0D6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03F-4C03-A0CC-7DBA7A6FE0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'COSTES 26'!$D$53:$D$56</c:f>
              <c:strCache>
                <c:ptCount val="4"/>
                <c:pt idx="0">
                  <c:v>COSTES TRANSFERENCIA Y TRANSPORTE</c:v>
                </c:pt>
                <c:pt idx="1">
                  <c:v>COSTES VALORIZACIÓN Y ELIMINACIÓN</c:v>
                </c:pt>
                <c:pt idx="2">
                  <c:v>COSTES CANON</c:v>
                </c:pt>
                <c:pt idx="3">
                  <c:v>ECOPARQUES</c:v>
                </c:pt>
              </c:strCache>
            </c:strRef>
          </c:cat>
          <c:val>
            <c:numRef>
              <c:f>'COSTES 26'!$E$53:$E$56</c:f>
              <c:numCache>
                <c:formatCode>#,##0.00</c:formatCode>
                <c:ptCount val="4"/>
                <c:pt idx="0">
                  <c:v>4042962.9680000008</c:v>
                </c:pt>
                <c:pt idx="1">
                  <c:v>16937257.967049282</c:v>
                </c:pt>
                <c:pt idx="2">
                  <c:v>2380726.4768525395</c:v>
                </c:pt>
                <c:pt idx="3" formatCode="&quot;€&quot;#,##0.00_);\(&quot;€&quot;#,##0.00\)">
                  <c:v>8585918.3458399996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3-4037-ABBB-2BE4B46A697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3">
                  <a:shade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03F-4C03-A0CC-7DBA7A6FE0D6}"/>
              </c:ext>
            </c:extLst>
          </c:dPt>
          <c:dPt>
            <c:idx val="1"/>
            <c:bubble3D val="0"/>
            <c:spPr>
              <a:solidFill>
                <a:schemeClr val="accent3">
                  <a:shade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03F-4C03-A0CC-7DBA7A6FE0D6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03F-4C03-A0CC-7DBA7A6FE0D6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03F-4C03-A0CC-7DBA7A6FE0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'COSTES 26'!$D$53:$D$56</c:f>
              <c:strCache>
                <c:ptCount val="4"/>
                <c:pt idx="0">
                  <c:v>COSTES TRANSFERENCIA Y TRANSPORTE</c:v>
                </c:pt>
                <c:pt idx="1">
                  <c:v>COSTES VALORIZACIÓN Y ELIMINACIÓN</c:v>
                </c:pt>
                <c:pt idx="2">
                  <c:v>COSTES CANON</c:v>
                </c:pt>
                <c:pt idx="3">
                  <c:v>ECOPARQUES</c:v>
                </c:pt>
              </c:strCache>
            </c:strRef>
          </c:cat>
          <c:val>
            <c:numRef>
              <c:f>'COSTES 26'!$G$53:$G$56</c:f>
              <c:numCache>
                <c:formatCode>0.00%</c:formatCode>
                <c:ptCount val="4"/>
                <c:pt idx="0">
                  <c:v>0.12655272660105168</c:v>
                </c:pt>
                <c:pt idx="1">
                  <c:v>0.53016962901735676</c:v>
                </c:pt>
                <c:pt idx="2">
                  <c:v>7.4521441161269714E-2</c:v>
                </c:pt>
                <c:pt idx="3">
                  <c:v>0.26875620322032173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3-4037-ABBB-2BE4B46A697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94-4906-AE01-6A4B77C24B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94-4906-AE01-6A4B77C2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94-4906-AE01-6A4B77C2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8A94-4906-AE01-6A4B77C2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A94-4906-AE01-6A4B77C24B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94-4906-AE01-6A4B77C24B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94-4906-AE01-6A4B77C24B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A94-4906-AE01-6A4B77C24B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94-4906-AE01-6A4B77C24B41}"/>
              </c:ext>
            </c:extLst>
          </c:dPt>
          <c:dLbls>
            <c:dLbl>
              <c:idx val="0"/>
              <c:layout>
                <c:manualLayout>
                  <c:x val="7.404680664916885E-2"/>
                  <c:y val="3.5312044327792357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94-4906-AE01-6A4B77C24B41}"/>
                </c:ext>
              </c:extLst>
            </c:dLbl>
            <c:dLbl>
              <c:idx val="1"/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A94-4906-AE01-6A4B77C24B41}"/>
                </c:ext>
              </c:extLst>
            </c:dLbl>
            <c:dLbl>
              <c:idx val="2"/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8A94-4906-AE01-6A4B77C24B41}"/>
                </c:ext>
              </c:extLst>
            </c:dLbl>
            <c:dLbl>
              <c:idx val="3"/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8A94-4906-AE01-6A4B77C24B41}"/>
                </c:ext>
              </c:extLst>
            </c:dLbl>
            <c:dLbl>
              <c:idx val="4"/>
              <c:layout>
                <c:manualLayout>
                  <c:x val="-8.4174759405074392E-2"/>
                  <c:y val="6.8685112277631924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94-4906-AE01-6A4B77C24B41}"/>
                </c:ext>
              </c:extLst>
            </c:dLbl>
            <c:dLbl>
              <c:idx val="5"/>
              <c:layout>
                <c:manualLayout>
                  <c:x val="-5.4786307961504813E-2"/>
                  <c:y val="1.232502187226575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94-4906-AE01-6A4B77C24B41}"/>
                </c:ext>
              </c:extLst>
            </c:dLbl>
            <c:dLbl>
              <c:idx val="6"/>
              <c:layout>
                <c:manualLayout>
                  <c:x val="-8.5173665791776029E-2"/>
                  <c:y val="-8.1774205307669878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94-4906-AE01-6A4B77C24B41}"/>
                </c:ext>
              </c:extLst>
            </c:dLbl>
            <c:dLbl>
              <c:idx val="7"/>
              <c:layout>
                <c:manualLayout>
                  <c:x val="-2.4084208223972003E-2"/>
                  <c:y val="-8.5192475940507439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94-4906-AE01-6A4B77C24B41}"/>
                </c:ext>
              </c:extLst>
            </c:dLbl>
            <c:dLbl>
              <c:idx val="8"/>
              <c:layout>
                <c:manualLayout>
                  <c:x val="8.3603674540682418E-2"/>
                  <c:y val="1.2109580052493418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94-4906-AE01-6A4B77C24B4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'GRAFICOS '!$B$3:$B$11</c:f>
              <c:strCache>
                <c:ptCount val="9"/>
                <c:pt idx="0">
                  <c:v>COSTES TRANSFERENCIA Y TRANSPORTE</c:v>
                </c:pt>
                <c:pt idx="1">
                  <c:v>COSTES VALORIZACIÓN Y ELIMINACIÓN</c:v>
                </c:pt>
                <c:pt idx="2">
                  <c:v>COSTES CANON</c:v>
                </c:pt>
                <c:pt idx="3">
                  <c:v>ECOPARQUES</c:v>
                </c:pt>
                <c:pt idx="4">
                  <c:v>FUNCIONAMIENTO COR</c:v>
                </c:pt>
                <c:pt idx="5">
                  <c:v>EL MEU COMPTE AMBIENTAL</c:v>
                </c:pt>
                <c:pt idx="6">
                  <c:v>PREVISIÓN INSOLVENCIAS Y GESTIÓN DE RECAUDACIÓN</c:v>
                </c:pt>
                <c:pt idx="7">
                  <c:v>INVERSIONES INDIRECTAS</c:v>
                </c:pt>
                <c:pt idx="8">
                  <c:v>OTROS(COMPENSACIÓN MUNICIPIOS)</c:v>
                </c:pt>
              </c:strCache>
            </c:strRef>
          </c:cat>
          <c:val>
            <c:numRef>
              <c:f>'GRAFICOS '!$D$3:$D$11</c:f>
              <c:numCache>
                <c:formatCode>0.00%</c:formatCode>
                <c:ptCount val="9"/>
                <c:pt idx="0">
                  <c:v>0.11806140186378973</c:v>
                </c:pt>
                <c:pt idx="1">
                  <c:v>0.49459676854464801</c:v>
                </c:pt>
                <c:pt idx="2">
                  <c:v>6.9521266342564211E-2</c:v>
                </c:pt>
                <c:pt idx="3">
                  <c:v>0.2332024118306559</c:v>
                </c:pt>
                <c:pt idx="4">
                  <c:v>3.6274523297430687E-2</c:v>
                </c:pt>
                <c:pt idx="5">
                  <c:v>1.7521021507974847E-2</c:v>
                </c:pt>
                <c:pt idx="6">
                  <c:v>2.5474764760801714E-2</c:v>
                </c:pt>
                <c:pt idx="7">
                  <c:v>5.8403405026582816E-4</c:v>
                </c:pt>
                <c:pt idx="8">
                  <c:v>4.7638078018689837E-3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4-4906-AE01-6A4B77C24B4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43875765529313"/>
          <c:y val="5.2010425780110801E-2"/>
          <c:w val="0.33189457567804026"/>
          <c:h val="0.905099154272382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427566</xdr:colOff>
      <xdr:row>42</xdr:row>
      <xdr:rowOff>76199</xdr:rowOff>
    </xdr:from>
    <xdr:to>
      <xdr:col>14</xdr:col>
      <xdr:colOff>791633</xdr:colOff>
      <xdr:row>57</xdr:row>
      <xdr:rowOff>25399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08DBC0-250C-5AB7-913C-FDFE7CB1E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444499</xdr:colOff>
      <xdr:row>57</xdr:row>
      <xdr:rowOff>143932</xdr:rowOff>
    </xdr:from>
    <xdr:to>
      <xdr:col>14</xdr:col>
      <xdr:colOff>808566</xdr:colOff>
      <xdr:row>72</xdr:row>
      <xdr:rowOff>93132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2E8337-E7FD-48EC-027C-971881A2E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83</xdr:row>
      <xdr:rowOff>25400</xdr:rowOff>
    </xdr:from>
    <xdr:to>
      <xdr:col>9</xdr:col>
      <xdr:colOff>458030</xdr:colOff>
      <xdr:row>96</xdr:row>
      <xdr:rowOff>140088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1BF814B-72EB-6F24-DD9B-1B1B8490F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7400" y="16217900"/>
          <a:ext cx="5944430" cy="27816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</xdr:colOff>
      <xdr:row>1</xdr:row>
      <xdr:rowOff>101600</xdr:rowOff>
    </xdr:from>
    <xdr:to>
      <xdr:col>11</xdr:col>
      <xdr:colOff>15875</xdr:colOff>
      <xdr:row>16</xdr:row>
      <xdr:rowOff>82550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30C775-992A-E35A-7C78-6CB27E0AE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43\Gerent\03_PRESUPUESTOS%20Y%20ORDENANZA\ESCENARIO\TOTS%20ELS%20ANYS%20FINS%20AL%202024%20xlsx.xlsx" TargetMode="External"/><Relationship Id="rId1" Type="http://schemas.openxmlformats.org/officeDocument/2006/relationships/externalLinkPath" Target="/03_PRESUPUESTOS%20Y%20ORDENANZA/ESCENARIO/TOTS%20ELS%20ANYS%20FINS%20AL%202024%20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2023"/>
      <sheetName val="2024"/>
      <sheetName val="Resum dades per a Ajuntaments"/>
      <sheetName val="DATOS RAFOL"/>
      <sheetName val="Hoja1"/>
    </sheetNames>
    <sheetDataSet>
      <sheetData sheetId="0"/>
      <sheetData sheetId="1"/>
      <sheetData sheetId="2"/>
      <sheetData sheetId="3">
        <row r="2">
          <cell r="L2"/>
          <cell r="M2">
            <v>4.08</v>
          </cell>
          <cell r="N2">
            <v>521.08000000000004</v>
          </cell>
        </row>
        <row r="3">
          <cell r="L3"/>
          <cell r="M3"/>
          <cell r="N3">
            <v>764.73882139166403</v>
          </cell>
        </row>
        <row r="4">
          <cell r="L4"/>
          <cell r="M4"/>
          <cell r="N4">
            <v>1427.7611137522067</v>
          </cell>
        </row>
        <row r="5">
          <cell r="L5"/>
          <cell r="M5"/>
          <cell r="N5">
            <v>47.190930122041152</v>
          </cell>
        </row>
        <row r="6">
          <cell r="L6"/>
          <cell r="M6"/>
          <cell r="N6">
            <v>1939.8648036063855</v>
          </cell>
        </row>
        <row r="7">
          <cell r="L7"/>
          <cell r="M7"/>
          <cell r="N7">
            <v>394.19192953564385</v>
          </cell>
        </row>
        <row r="8">
          <cell r="L8"/>
          <cell r="M8">
            <v>2.66</v>
          </cell>
          <cell r="N8">
            <v>145.41999999999999</v>
          </cell>
        </row>
        <row r="9">
          <cell r="L9"/>
          <cell r="M9">
            <v>2.58</v>
          </cell>
          <cell r="N9">
            <v>77.100000000000009</v>
          </cell>
        </row>
        <row r="10">
          <cell r="L10"/>
          <cell r="M10"/>
          <cell r="N10">
            <v>728.75999999999988</v>
          </cell>
        </row>
        <row r="11">
          <cell r="L11"/>
          <cell r="M11"/>
          <cell r="N11">
            <v>962.24039400000004</v>
          </cell>
        </row>
        <row r="12">
          <cell r="L12"/>
          <cell r="M12">
            <v>13.991552894211576</v>
          </cell>
          <cell r="N12">
            <v>315.3716519643595</v>
          </cell>
        </row>
        <row r="13">
          <cell r="L13">
            <v>23.7</v>
          </cell>
          <cell r="M13"/>
          <cell r="N13">
            <v>1593.3100000000002</v>
          </cell>
        </row>
        <row r="14">
          <cell r="L14"/>
          <cell r="M14"/>
          <cell r="N14">
            <v>450.15700000000004</v>
          </cell>
        </row>
        <row r="15">
          <cell r="L15"/>
          <cell r="M15">
            <v>7.8023283433133734</v>
          </cell>
          <cell r="N15">
            <v>175.84859127855646</v>
          </cell>
        </row>
        <row r="16">
          <cell r="L16"/>
          <cell r="M16">
            <v>7.18</v>
          </cell>
          <cell r="N16">
            <v>1902.1</v>
          </cell>
        </row>
        <row r="17">
          <cell r="L17">
            <v>26.483000000000001</v>
          </cell>
          <cell r="M17"/>
          <cell r="N17">
            <v>16.454404506438991</v>
          </cell>
        </row>
        <row r="18">
          <cell r="L18"/>
          <cell r="M18">
            <v>4.34</v>
          </cell>
          <cell r="N18">
            <v>572.30000000000007</v>
          </cell>
        </row>
        <row r="19">
          <cell r="L19"/>
          <cell r="M19">
            <v>2.5300259481037926</v>
          </cell>
          <cell r="N19">
            <v>56.965036611363352</v>
          </cell>
        </row>
        <row r="20">
          <cell r="L20"/>
          <cell r="M20"/>
          <cell r="N20">
            <v>169.716778812401</v>
          </cell>
        </row>
        <row r="21">
          <cell r="L21"/>
          <cell r="M21"/>
          <cell r="N21">
            <v>150.02000000000001</v>
          </cell>
        </row>
        <row r="22">
          <cell r="L22"/>
          <cell r="M22"/>
          <cell r="N22">
            <v>1705.2566132170125</v>
          </cell>
        </row>
        <row r="23">
          <cell r="L23"/>
          <cell r="M23">
            <v>2.74</v>
          </cell>
          <cell r="N23">
            <v>435.78000000000003</v>
          </cell>
        </row>
        <row r="24">
          <cell r="L24"/>
          <cell r="M24"/>
          <cell r="N24">
            <v>147.70050934121087</v>
          </cell>
        </row>
        <row r="25">
          <cell r="L25"/>
          <cell r="M25"/>
          <cell r="N25">
            <v>56.066499350262056</v>
          </cell>
        </row>
        <row r="26">
          <cell r="L26"/>
          <cell r="M26"/>
          <cell r="N26">
            <v>269.91530699999998</v>
          </cell>
        </row>
        <row r="27">
          <cell r="L27">
            <v>6.68</v>
          </cell>
          <cell r="M27">
            <v>50.345818363273445</v>
          </cell>
          <cell r="N27">
            <v>1134.6224441963823</v>
          </cell>
        </row>
        <row r="28">
          <cell r="L28"/>
          <cell r="M28"/>
          <cell r="N28">
            <v>409.00754899999998</v>
          </cell>
        </row>
        <row r="29">
          <cell r="L29"/>
          <cell r="M29"/>
          <cell r="N29">
            <v>44.348103006255542</v>
          </cell>
        </row>
        <row r="30">
          <cell r="L30"/>
          <cell r="M30">
            <v>35.360000000000007</v>
          </cell>
          <cell r="N30">
            <v>4127.1399999999994</v>
          </cell>
        </row>
        <row r="31">
          <cell r="L31">
            <v>12.512</v>
          </cell>
          <cell r="M31"/>
          <cell r="N31">
            <v>27.244147944565082</v>
          </cell>
        </row>
        <row r="32">
          <cell r="L32"/>
          <cell r="M32"/>
          <cell r="N32">
            <v>658.11447730436907</v>
          </cell>
        </row>
        <row r="33">
          <cell r="L33"/>
          <cell r="M33">
            <v>1.8199999999999998</v>
          </cell>
          <cell r="N33">
            <v>30.62</v>
          </cell>
        </row>
        <row r="34">
          <cell r="L34">
            <v>6.6020000000000003</v>
          </cell>
          <cell r="M34"/>
          <cell r="N34">
            <v>81.067379619012399</v>
          </cell>
        </row>
        <row r="35">
          <cell r="L35"/>
          <cell r="M35"/>
          <cell r="N35">
            <v>893.39773300000002</v>
          </cell>
        </row>
        <row r="36">
          <cell r="L36"/>
          <cell r="M36">
            <v>95.26</v>
          </cell>
          <cell r="N36">
            <v>116.46000000000001</v>
          </cell>
        </row>
        <row r="37">
          <cell r="L37"/>
          <cell r="M37"/>
          <cell r="N37">
            <v>2164.8000000000002</v>
          </cell>
        </row>
        <row r="38">
          <cell r="L38"/>
          <cell r="M38"/>
          <cell r="N38">
            <v>888.49160954318484</v>
          </cell>
        </row>
        <row r="39">
          <cell r="L39"/>
          <cell r="M39"/>
          <cell r="N39">
            <v>160.90401475346559</v>
          </cell>
        </row>
        <row r="40">
          <cell r="L40"/>
          <cell r="M40">
            <v>4.18</v>
          </cell>
          <cell r="N40">
            <v>951.6</v>
          </cell>
        </row>
        <row r="41">
          <cell r="L41"/>
          <cell r="M41"/>
          <cell r="N41">
            <v>1663.9765958202327</v>
          </cell>
        </row>
        <row r="42">
          <cell r="L42"/>
          <cell r="M42"/>
          <cell r="N42">
            <v>49.873204000000001</v>
          </cell>
        </row>
        <row r="43">
          <cell r="L43">
            <v>40.914000000000001</v>
          </cell>
          <cell r="M43"/>
          <cell r="N43">
            <v>271.51339997847697</v>
          </cell>
        </row>
        <row r="44">
          <cell r="L44"/>
          <cell r="M44"/>
          <cell r="N44">
            <v>32631.380000000005</v>
          </cell>
        </row>
        <row r="45">
          <cell r="L45">
            <v>8.5500000000000007</v>
          </cell>
          <cell r="M45"/>
          <cell r="N45">
            <v>141.65737867752378</v>
          </cell>
        </row>
        <row r="46">
          <cell r="L46"/>
          <cell r="M46"/>
          <cell r="N46">
            <v>259.58</v>
          </cell>
        </row>
        <row r="47">
          <cell r="L47"/>
          <cell r="M47"/>
          <cell r="N47">
            <v>366.49</v>
          </cell>
        </row>
        <row r="48">
          <cell r="L48"/>
          <cell r="M48"/>
          <cell r="N48">
            <v>291.17</v>
          </cell>
        </row>
        <row r="49">
          <cell r="L49">
            <v>8.6630000000000003</v>
          </cell>
          <cell r="M49"/>
          <cell r="N49">
            <v>769.84896430552988</v>
          </cell>
        </row>
        <row r="50">
          <cell r="L50"/>
          <cell r="M50">
            <v>27.34</v>
          </cell>
          <cell r="N50">
            <v>1073.1399999999999</v>
          </cell>
        </row>
        <row r="51">
          <cell r="L51"/>
          <cell r="M51"/>
          <cell r="N51">
            <v>98.503999999999991</v>
          </cell>
        </row>
        <row r="52">
          <cell r="L52"/>
          <cell r="M52"/>
          <cell r="N52">
            <v>1177.9369999999999</v>
          </cell>
        </row>
        <row r="53">
          <cell r="L53"/>
          <cell r="M53"/>
          <cell r="N53">
            <v>729.75916973452786</v>
          </cell>
        </row>
        <row r="54">
          <cell r="L54"/>
          <cell r="M54"/>
          <cell r="N54">
            <v>1766.4299999999998</v>
          </cell>
        </row>
        <row r="55">
          <cell r="L55"/>
          <cell r="M55"/>
          <cell r="N55">
            <v>643.6</v>
          </cell>
        </row>
        <row r="56">
          <cell r="L56"/>
          <cell r="M56"/>
          <cell r="N56">
            <v>407.01578468651746</v>
          </cell>
        </row>
        <row r="57">
          <cell r="L57"/>
          <cell r="M57">
            <v>2</v>
          </cell>
          <cell r="N57">
            <v>171.18</v>
          </cell>
        </row>
        <row r="58">
          <cell r="L58"/>
          <cell r="M58"/>
          <cell r="N58">
            <v>251.94400000000002</v>
          </cell>
        </row>
        <row r="59">
          <cell r="L59"/>
          <cell r="M59"/>
          <cell r="N59">
            <v>658.96732543910468</v>
          </cell>
        </row>
        <row r="60">
          <cell r="L60"/>
          <cell r="M60"/>
          <cell r="N60">
            <v>2647.9519204730459</v>
          </cell>
        </row>
        <row r="61">
          <cell r="L61"/>
          <cell r="M61"/>
          <cell r="N61">
            <v>1654.1399999999999</v>
          </cell>
        </row>
        <row r="62">
          <cell r="L62"/>
          <cell r="M62"/>
          <cell r="N62">
            <v>1639.9438658775662</v>
          </cell>
        </row>
        <row r="63">
          <cell r="L63"/>
          <cell r="M63"/>
          <cell r="N63">
            <v>527.83282609243406</v>
          </cell>
        </row>
        <row r="64">
          <cell r="L64"/>
          <cell r="M64"/>
          <cell r="N64">
            <v>420.23599999999999</v>
          </cell>
        </row>
        <row r="65">
          <cell r="L65"/>
          <cell r="M65"/>
          <cell r="N65">
            <v>162.32542831135842</v>
          </cell>
        </row>
        <row r="66">
          <cell r="L66"/>
          <cell r="M66"/>
          <cell r="N66">
            <v>1041.533852</v>
          </cell>
        </row>
        <row r="67">
          <cell r="L67"/>
          <cell r="M67"/>
          <cell r="N67">
            <v>317.47600000000006</v>
          </cell>
        </row>
        <row r="68">
          <cell r="L68"/>
          <cell r="M68">
            <v>91.72</v>
          </cell>
          <cell r="N68">
            <v>11825.479999999998</v>
          </cell>
        </row>
        <row r="69">
          <cell r="L69"/>
          <cell r="M69">
            <v>10.400274451097804</v>
          </cell>
          <cell r="N69">
            <v>11076.24670590339</v>
          </cell>
        </row>
        <row r="70">
          <cell r="L70">
            <v>22.509</v>
          </cell>
          <cell r="M70"/>
          <cell r="N70">
            <v>117.78278101286723</v>
          </cell>
        </row>
        <row r="71">
          <cell r="L71"/>
          <cell r="M71">
            <v>3.36</v>
          </cell>
          <cell r="N71">
            <v>843.66000000000008</v>
          </cell>
        </row>
        <row r="72">
          <cell r="L72"/>
          <cell r="M72">
            <v>2.2400000000000002</v>
          </cell>
          <cell r="N72">
            <v>350.65999999999997</v>
          </cell>
        </row>
        <row r="73">
          <cell r="L73"/>
          <cell r="M73">
            <v>5.9200000000000008</v>
          </cell>
          <cell r="N73">
            <v>1260.2599999999998</v>
          </cell>
        </row>
        <row r="74">
          <cell r="L74"/>
          <cell r="M74"/>
          <cell r="N74">
            <v>44.063820294676979</v>
          </cell>
        </row>
        <row r="75">
          <cell r="L75"/>
          <cell r="M75">
            <v>17.600000000000001</v>
          </cell>
          <cell r="N75">
            <v>309.94</v>
          </cell>
        </row>
        <row r="76">
          <cell r="L76"/>
          <cell r="M76"/>
          <cell r="N76">
            <v>639.09844738091249</v>
          </cell>
        </row>
        <row r="77">
          <cell r="L77"/>
          <cell r="M77"/>
          <cell r="N77">
            <v>317.73196000000002</v>
          </cell>
        </row>
        <row r="78">
          <cell r="L78"/>
          <cell r="M78">
            <v>5.8999999999999995</v>
          </cell>
          <cell r="N78">
            <v>437.82000000000005</v>
          </cell>
        </row>
        <row r="79">
          <cell r="L79">
            <v>15.923</v>
          </cell>
          <cell r="M79"/>
          <cell r="N79">
            <v>125.9372412293026</v>
          </cell>
        </row>
        <row r="80">
          <cell r="L80"/>
          <cell r="M80"/>
          <cell r="N80">
            <v>416.78060081375992</v>
          </cell>
        </row>
        <row r="81">
          <cell r="L81"/>
          <cell r="M81"/>
          <cell r="N81">
            <v>456.56000000000006</v>
          </cell>
        </row>
        <row r="82">
          <cell r="L82"/>
          <cell r="M82"/>
          <cell r="N82">
            <v>49.749474526248207</v>
          </cell>
        </row>
        <row r="83">
          <cell r="L83">
            <v>12.734</v>
          </cell>
          <cell r="M83"/>
          <cell r="N83">
            <v>116.84019445878864</v>
          </cell>
        </row>
        <row r="84">
          <cell r="L84"/>
          <cell r="M84"/>
          <cell r="N84">
            <v>7.7538775697170914</v>
          </cell>
        </row>
        <row r="85">
          <cell r="L85"/>
          <cell r="M85"/>
          <cell r="N85">
            <v>266.76999999999992</v>
          </cell>
        </row>
        <row r="86">
          <cell r="L86"/>
          <cell r="M86"/>
          <cell r="N86">
            <v>81.589138223047044</v>
          </cell>
        </row>
        <row r="87">
          <cell r="L87">
            <v>5.3849999999999998</v>
          </cell>
          <cell r="M87"/>
          <cell r="N87">
            <v>39.064</v>
          </cell>
        </row>
        <row r="88">
          <cell r="L88">
            <v>2.7850000000000001</v>
          </cell>
          <cell r="M88"/>
          <cell r="N88">
            <v>1000.0954815239504</v>
          </cell>
        </row>
        <row r="89">
          <cell r="L89"/>
          <cell r="M89"/>
          <cell r="N89">
            <v>42.559717810245978</v>
          </cell>
        </row>
        <row r="90">
          <cell r="L90"/>
          <cell r="M90">
            <v>16.440000000000001</v>
          </cell>
          <cell r="N90">
            <v>1434.1399999999999</v>
          </cell>
        </row>
        <row r="91">
          <cell r="L91"/>
          <cell r="M91"/>
          <cell r="N91">
            <v>10872.6</v>
          </cell>
        </row>
        <row r="92">
          <cell r="L92"/>
          <cell r="M92">
            <v>4.9000000000000012</v>
          </cell>
          <cell r="N92">
            <v>2736.3599999999997</v>
          </cell>
        </row>
        <row r="93">
          <cell r="L93"/>
          <cell r="M93"/>
          <cell r="N93">
            <v>647.32000000000016</v>
          </cell>
        </row>
        <row r="94">
          <cell r="L94"/>
          <cell r="M94"/>
          <cell r="N94">
            <v>191.98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CF7A-D86D-447A-9D09-0F96DEFD9149}">
  <dimension ref="A3:N24"/>
  <sheetViews>
    <sheetView topLeftCell="A13" workbookViewId="0">
      <selection activeCell="N19" sqref="N19"/>
    </sheetView>
  </sheetViews>
  <sheetFormatPr baseColWidth="10" defaultRowHeight="14.5"/>
  <cols>
    <col min="1" max="1" width="38.7265625" bestFit="1" customWidth="1"/>
  </cols>
  <sheetData>
    <row r="3" spans="1:14">
      <c r="B3" s="185" t="s">
        <v>371</v>
      </c>
      <c r="C3" s="185" t="s">
        <v>372</v>
      </c>
      <c r="D3" s="185" t="s">
        <v>373</v>
      </c>
      <c r="E3" s="185" t="s">
        <v>374</v>
      </c>
      <c r="F3" s="185" t="s">
        <v>375</v>
      </c>
      <c r="G3" s="185" t="s">
        <v>376</v>
      </c>
      <c r="H3" s="185" t="s">
        <v>377</v>
      </c>
      <c r="I3" s="185" t="s">
        <v>378</v>
      </c>
      <c r="J3" s="13" t="s">
        <v>379</v>
      </c>
      <c r="K3" s="13" t="s">
        <v>380</v>
      </c>
      <c r="L3" s="13" t="s">
        <v>381</v>
      </c>
      <c r="M3" s="13" t="s">
        <v>382</v>
      </c>
      <c r="N3" s="181" t="s">
        <v>383</v>
      </c>
    </row>
    <row r="4" spans="1:14">
      <c r="A4" s="179" t="s">
        <v>356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1"/>
    </row>
    <row r="5" spans="1:14">
      <c r="A5" s="179" t="s">
        <v>357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</row>
    <row r="6" spans="1:14">
      <c r="A6" t="s">
        <v>358</v>
      </c>
      <c r="B6" s="2">
        <v>1087.96</v>
      </c>
      <c r="C6" s="2">
        <v>814.68</v>
      </c>
      <c r="D6" s="2">
        <v>958.48</v>
      </c>
      <c r="E6" s="2">
        <v>914.92</v>
      </c>
      <c r="F6" s="2">
        <v>939.34</v>
      </c>
      <c r="G6" s="2">
        <v>909.4</v>
      </c>
      <c r="H6" s="2">
        <v>895.94</v>
      </c>
      <c r="I6" s="2">
        <v>876.8</v>
      </c>
      <c r="J6" s="2">
        <v>880.74</v>
      </c>
      <c r="K6" s="2">
        <v>849.54</v>
      </c>
      <c r="L6" s="2">
        <v>838.78</v>
      </c>
      <c r="M6" s="2">
        <v>887.88</v>
      </c>
      <c r="N6" s="182">
        <f>SUM(B6:M6)</f>
        <v>10854.46</v>
      </c>
    </row>
    <row r="7" spans="1:14">
      <c r="A7" t="s">
        <v>359</v>
      </c>
      <c r="B7" s="2">
        <v>2192.3000000000002</v>
      </c>
      <c r="C7" s="2">
        <v>2936.7</v>
      </c>
      <c r="D7" s="2">
        <v>3132.36</v>
      </c>
      <c r="E7" s="2">
        <v>1881.24</v>
      </c>
      <c r="F7" s="2">
        <v>3349.2</v>
      </c>
      <c r="G7" s="2">
        <v>2786.94</v>
      </c>
      <c r="H7" s="2">
        <v>1602.88</v>
      </c>
      <c r="I7" s="2">
        <v>1588.28</v>
      </c>
      <c r="J7" s="2">
        <v>2305.54</v>
      </c>
      <c r="K7" s="2">
        <v>2780.67</v>
      </c>
      <c r="L7" s="2">
        <v>3042.51</v>
      </c>
      <c r="M7" s="2">
        <v>1976.97</v>
      </c>
      <c r="N7" s="182">
        <f t="shared" ref="N7:N17" si="0">SUM(B7:M7)</f>
        <v>29575.590000000004</v>
      </c>
    </row>
    <row r="8" spans="1:14">
      <c r="A8" t="s">
        <v>360</v>
      </c>
      <c r="B8" s="2">
        <v>1498.88</v>
      </c>
      <c r="C8" s="2">
        <v>1246.6400000000001</v>
      </c>
      <c r="D8" s="2">
        <v>1597.42</v>
      </c>
      <c r="E8" s="2">
        <v>844.58</v>
      </c>
      <c r="F8" s="2">
        <v>1071.28</v>
      </c>
      <c r="G8" s="2">
        <v>1461</v>
      </c>
      <c r="H8" s="2">
        <v>1979.98</v>
      </c>
      <c r="I8" s="2">
        <v>1439.2</v>
      </c>
      <c r="J8" s="2">
        <v>1470.14</v>
      </c>
      <c r="K8" s="2">
        <v>1473.3</v>
      </c>
      <c r="L8" s="2">
        <v>1219.0999999999999</v>
      </c>
      <c r="M8" s="2">
        <v>1437.14</v>
      </c>
      <c r="N8" s="182">
        <f t="shared" si="0"/>
        <v>16738.66</v>
      </c>
    </row>
    <row r="9" spans="1:14">
      <c r="A9" t="s">
        <v>361</v>
      </c>
      <c r="B9" s="2">
        <v>225.24</v>
      </c>
      <c r="C9" s="2">
        <v>192.02</v>
      </c>
      <c r="D9" s="2">
        <v>223.4</v>
      </c>
      <c r="E9" s="2">
        <v>268.74</v>
      </c>
      <c r="F9" s="2">
        <v>232.34</v>
      </c>
      <c r="G9" s="2">
        <v>250.28</v>
      </c>
      <c r="H9" s="2">
        <v>289.38</v>
      </c>
      <c r="I9" s="2">
        <v>339.48</v>
      </c>
      <c r="J9" s="2">
        <v>247.16</v>
      </c>
      <c r="K9" s="2">
        <v>204.68</v>
      </c>
      <c r="L9" s="2">
        <v>208.38</v>
      </c>
      <c r="M9" s="2">
        <v>231.74</v>
      </c>
      <c r="N9" s="182">
        <f t="shared" si="0"/>
        <v>2912.84</v>
      </c>
    </row>
    <row r="10" spans="1:14">
      <c r="A10" t="s">
        <v>362</v>
      </c>
      <c r="B10" s="2">
        <v>5120.04</v>
      </c>
      <c r="C10" s="2">
        <v>3637.62</v>
      </c>
      <c r="D10" s="2">
        <v>4033.16</v>
      </c>
      <c r="E10" s="2">
        <v>6489.38</v>
      </c>
      <c r="F10" s="2">
        <v>4958.4399999999996</v>
      </c>
      <c r="G10" s="2">
        <v>5349.9</v>
      </c>
      <c r="H10" s="2">
        <v>7760.66</v>
      </c>
      <c r="I10" s="2">
        <v>8140.74</v>
      </c>
      <c r="J10" s="2">
        <v>5760.34</v>
      </c>
      <c r="K10" s="2">
        <v>4886.74</v>
      </c>
      <c r="L10" s="2">
        <v>4629.25</v>
      </c>
      <c r="M10" s="2">
        <v>5434.35</v>
      </c>
      <c r="N10" s="182">
        <f t="shared" si="0"/>
        <v>66200.62</v>
      </c>
    </row>
    <row r="11" spans="1:14">
      <c r="A11" s="177" t="s">
        <v>363</v>
      </c>
      <c r="B11" s="178">
        <f>+SUM(B6:B10)</f>
        <v>10124.42</v>
      </c>
      <c r="C11" s="178">
        <f t="shared" ref="C11:M11" si="1">+SUM(C6:C10)</f>
        <v>8827.66</v>
      </c>
      <c r="D11" s="178">
        <f t="shared" si="1"/>
        <v>9944.82</v>
      </c>
      <c r="E11" s="178">
        <f t="shared" si="1"/>
        <v>10398.86</v>
      </c>
      <c r="F11" s="178">
        <f t="shared" si="1"/>
        <v>10550.599999999999</v>
      </c>
      <c r="G11" s="178">
        <f t="shared" si="1"/>
        <v>10757.52</v>
      </c>
      <c r="H11" s="178">
        <f t="shared" si="1"/>
        <v>12528.84</v>
      </c>
      <c r="I11" s="178">
        <f t="shared" si="1"/>
        <v>12384.5</v>
      </c>
      <c r="J11" s="178">
        <f t="shared" si="1"/>
        <v>10663.92</v>
      </c>
      <c r="K11" s="178">
        <f t="shared" si="1"/>
        <v>10194.93</v>
      </c>
      <c r="L11" s="178">
        <f t="shared" si="1"/>
        <v>9938.02</v>
      </c>
      <c r="M11" s="178">
        <f t="shared" si="1"/>
        <v>9968.08</v>
      </c>
      <c r="N11" s="183">
        <f t="shared" si="0"/>
        <v>126282.17000000001</v>
      </c>
    </row>
    <row r="12" spans="1:14">
      <c r="A12" t="s">
        <v>364</v>
      </c>
      <c r="B12" s="2">
        <v>30.6</v>
      </c>
      <c r="C12" s="2">
        <v>18.920000000000002</v>
      </c>
      <c r="D12" s="2">
        <v>85.56</v>
      </c>
      <c r="E12" s="2">
        <v>83.68</v>
      </c>
      <c r="F12" s="2">
        <v>57.5</v>
      </c>
      <c r="G12" s="2">
        <v>55.52</v>
      </c>
      <c r="H12" s="2">
        <v>87.28</v>
      </c>
      <c r="I12" s="2">
        <v>82</v>
      </c>
      <c r="J12" s="2">
        <v>87.95</v>
      </c>
      <c r="K12" s="2">
        <v>88.23</v>
      </c>
      <c r="L12" s="2">
        <v>91.84</v>
      </c>
      <c r="M12" s="2">
        <v>103.35</v>
      </c>
      <c r="N12" s="182">
        <f t="shared" si="0"/>
        <v>872.43000000000006</v>
      </c>
    </row>
    <row r="13" spans="1:14">
      <c r="A13" t="s">
        <v>365</v>
      </c>
      <c r="B13" s="2">
        <v>5.0199999999999996</v>
      </c>
      <c r="C13" s="2">
        <v>2.1800000000000002</v>
      </c>
      <c r="D13" s="2">
        <v>3</v>
      </c>
      <c r="E13" s="2">
        <v>2.95</v>
      </c>
      <c r="F13" s="2">
        <v>1.76</v>
      </c>
      <c r="G13" s="2">
        <v>3.74</v>
      </c>
      <c r="H13" s="2">
        <v>3.52</v>
      </c>
      <c r="I13" s="2">
        <v>4.3</v>
      </c>
      <c r="J13" s="2">
        <v>2.7</v>
      </c>
      <c r="K13" s="2">
        <v>1.84</v>
      </c>
      <c r="L13" s="2">
        <v>1.88</v>
      </c>
      <c r="M13" s="2">
        <v>1.7</v>
      </c>
      <c r="N13" s="182">
        <f t="shared" si="0"/>
        <v>34.590000000000003</v>
      </c>
    </row>
    <row r="14" spans="1:14">
      <c r="A14" t="s">
        <v>366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82">
        <f t="shared" si="0"/>
        <v>0</v>
      </c>
    </row>
    <row r="15" spans="1:14">
      <c r="A15" t="s">
        <v>367</v>
      </c>
      <c r="B15" s="2">
        <v>4.92</v>
      </c>
      <c r="C15" s="2">
        <v>8.02</v>
      </c>
      <c r="D15" s="2">
        <v>8.02</v>
      </c>
      <c r="E15" s="2">
        <v>5.6</v>
      </c>
      <c r="F15" s="2">
        <v>7.98</v>
      </c>
      <c r="G15" s="2">
        <v>6.82</v>
      </c>
      <c r="H15" s="2">
        <v>10.62</v>
      </c>
      <c r="I15" s="2">
        <v>6.92</v>
      </c>
      <c r="J15" s="2">
        <v>8.7200000000000006</v>
      </c>
      <c r="K15" s="2">
        <v>9.7799999999999994</v>
      </c>
      <c r="L15" s="2">
        <v>7.5</v>
      </c>
      <c r="M15" s="2">
        <v>5.24</v>
      </c>
      <c r="N15" s="182">
        <f t="shared" si="0"/>
        <v>90.14</v>
      </c>
    </row>
    <row r="16" spans="1:14">
      <c r="A16" t="s">
        <v>368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2">
        <f t="shared" si="0"/>
        <v>0</v>
      </c>
    </row>
    <row r="17" spans="1:14">
      <c r="A17" s="177" t="s">
        <v>369</v>
      </c>
      <c r="B17" s="178">
        <f>+SUM(B12:B16)</f>
        <v>40.540000000000006</v>
      </c>
      <c r="C17" s="178">
        <f t="shared" ref="C17:M17" si="2">+SUM(C12:C16)</f>
        <v>29.12</v>
      </c>
      <c r="D17" s="178">
        <f t="shared" si="2"/>
        <v>96.58</v>
      </c>
      <c r="E17" s="178">
        <f t="shared" si="2"/>
        <v>92.23</v>
      </c>
      <c r="F17" s="178">
        <f t="shared" si="2"/>
        <v>67.239999999999995</v>
      </c>
      <c r="G17" s="178">
        <f t="shared" si="2"/>
        <v>66.080000000000013</v>
      </c>
      <c r="H17" s="178">
        <f t="shared" si="2"/>
        <v>101.42</v>
      </c>
      <c r="I17" s="178">
        <f t="shared" si="2"/>
        <v>93.22</v>
      </c>
      <c r="J17" s="178">
        <f t="shared" si="2"/>
        <v>99.37</v>
      </c>
      <c r="K17" s="178">
        <f t="shared" si="2"/>
        <v>99.850000000000009</v>
      </c>
      <c r="L17" s="178">
        <f t="shared" si="2"/>
        <v>101.22</v>
      </c>
      <c r="M17" s="178">
        <f t="shared" si="2"/>
        <v>110.28999999999999</v>
      </c>
      <c r="N17" s="183">
        <f t="shared" si="0"/>
        <v>997.16000000000008</v>
      </c>
    </row>
    <row r="18" spans="1:1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4">
      <c r="A19" s="12" t="s">
        <v>370</v>
      </c>
      <c r="B19" s="184">
        <f>+B11+B17</f>
        <v>10164.960000000001</v>
      </c>
      <c r="C19" s="184">
        <f t="shared" ref="C19:N19" si="3">+C11+C17</f>
        <v>8856.7800000000007</v>
      </c>
      <c r="D19" s="184">
        <f t="shared" si="3"/>
        <v>10041.4</v>
      </c>
      <c r="E19" s="184">
        <f t="shared" si="3"/>
        <v>10491.09</v>
      </c>
      <c r="F19" s="184">
        <f t="shared" si="3"/>
        <v>10617.839999999998</v>
      </c>
      <c r="G19" s="184">
        <f t="shared" si="3"/>
        <v>10823.6</v>
      </c>
      <c r="H19" s="184">
        <f t="shared" si="3"/>
        <v>12630.26</v>
      </c>
      <c r="I19" s="184">
        <f t="shared" si="3"/>
        <v>12477.72</v>
      </c>
      <c r="J19" s="9">
        <f t="shared" si="3"/>
        <v>10763.29</v>
      </c>
      <c r="K19" s="9">
        <f t="shared" si="3"/>
        <v>10294.780000000001</v>
      </c>
      <c r="L19" s="9">
        <f t="shared" si="3"/>
        <v>10039.24</v>
      </c>
      <c r="M19" s="9">
        <f t="shared" si="3"/>
        <v>10078.370000000001</v>
      </c>
      <c r="N19" s="9">
        <f t="shared" si="3"/>
        <v>127279.33000000002</v>
      </c>
    </row>
    <row r="21" spans="1:14">
      <c r="F21" s="2">
        <f>+SUM(B11:G11)</f>
        <v>60603.880000000005</v>
      </c>
      <c r="G21" s="2">
        <f>+SUM(B11:G11)-1392.02-'COSTES 26'!C22</f>
        <v>48257.447425608858</v>
      </c>
      <c r="L21" s="2">
        <f>+SUM(H11:M11)</f>
        <v>65678.290000000008</v>
      </c>
      <c r="M21" s="2" t="e">
        <f>+SUM(H11:M11)-1520.82-'COSTES 26'!#REF!</f>
        <v>#REF!</v>
      </c>
      <c r="N21" s="2" t="e">
        <f>+M21+G21+1392.02+1520.82</f>
        <v>#REF!</v>
      </c>
    </row>
    <row r="22" spans="1:14">
      <c r="F22" s="2">
        <f>+G22-39.08-18.66</f>
        <v>334.05000000000007</v>
      </c>
      <c r="G22" s="2">
        <f>+SUM(B17:G17)</f>
        <v>391.79000000000008</v>
      </c>
      <c r="L22" s="2">
        <f>+M22-48.78-15.94</f>
        <v>540.65</v>
      </c>
      <c r="M22" s="2">
        <f>+SUM(H17:M17)</f>
        <v>605.37</v>
      </c>
      <c r="N22" s="2">
        <f>+M22+G22</f>
        <v>997.16000000000008</v>
      </c>
    </row>
    <row r="24" spans="1:14">
      <c r="E24" t="s">
        <v>386</v>
      </c>
      <c r="F24" s="2">
        <f>+SUM(B10:G10)</f>
        <v>29588.54</v>
      </c>
      <c r="L24" s="2">
        <f>+SUM(H10:M10)</f>
        <v>36612.079999999994</v>
      </c>
    </row>
  </sheetData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1508-C52B-4CE1-9F0E-8B5908B109F6}">
  <sheetPr>
    <pageSetUpPr fitToPage="1"/>
  </sheetPr>
  <dimension ref="A1:O57"/>
  <sheetViews>
    <sheetView topLeftCell="A49" zoomScale="75" zoomScaleNormal="75" workbookViewId="0">
      <selection activeCell="D53" sqref="D53:D56"/>
    </sheetView>
  </sheetViews>
  <sheetFormatPr baseColWidth="10" defaultRowHeight="14.5"/>
  <cols>
    <col min="1" max="1" width="81.7265625" bestFit="1" customWidth="1"/>
    <col min="2" max="2" width="13.1796875" bestFit="1" customWidth="1"/>
    <col min="3" max="3" width="13.7265625" style="2" customWidth="1"/>
    <col min="4" max="4" width="12.453125" customWidth="1"/>
    <col min="5" max="5" width="14.26953125" customWidth="1"/>
    <col min="6" max="6" width="15.54296875" customWidth="1"/>
    <col min="7" max="7" width="17.81640625" customWidth="1"/>
    <col min="8" max="8" width="15.7265625" customWidth="1"/>
    <col min="9" max="9" width="13" customWidth="1"/>
    <col min="10" max="10" width="16.54296875" bestFit="1" customWidth="1"/>
    <col min="15" max="15" width="19.26953125" bestFit="1" customWidth="1"/>
  </cols>
  <sheetData>
    <row r="1" spans="1:15">
      <c r="B1" s="5"/>
      <c r="C1" s="2">
        <f>+C4+C10+C15+C22</f>
        <v>125192.37201893932</v>
      </c>
      <c r="D1" s="2"/>
      <c r="G1">
        <f>30*1.21</f>
        <v>36.299999999999997</v>
      </c>
      <c r="H1">
        <f>30*1.1</f>
        <v>33</v>
      </c>
      <c r="I1">
        <v>11.8</v>
      </c>
    </row>
    <row r="2" spans="1:15" ht="58">
      <c r="A2" t="s">
        <v>0</v>
      </c>
      <c r="C2" s="2">
        <f>+C4+C10</f>
        <v>111390.51341236703</v>
      </c>
      <c r="D2" s="11" t="s">
        <v>389</v>
      </c>
      <c r="E2" s="11" t="s">
        <v>390</v>
      </c>
      <c r="F2" s="11" t="s">
        <v>12</v>
      </c>
      <c r="G2" s="11" t="s">
        <v>384</v>
      </c>
      <c r="H2" s="11" t="s">
        <v>11</v>
      </c>
      <c r="I2" s="11" t="s">
        <v>520</v>
      </c>
    </row>
    <row r="3" spans="1:15">
      <c r="A3" s="6" t="s">
        <v>1</v>
      </c>
      <c r="B3" s="10">
        <v>0.58409999999999995</v>
      </c>
      <c r="C3" s="7"/>
    </row>
    <row r="4" spans="1:15">
      <c r="A4" s="3" t="s">
        <v>2</v>
      </c>
      <c r="B4" s="5">
        <f>SUM(B5:B7)</f>
        <v>1</v>
      </c>
      <c r="C4" s="2">
        <f>+'TN 2026'!$G$98*'COSTES 26'!B3</f>
        <v>65063.198884163576</v>
      </c>
      <c r="D4">
        <v>12.72</v>
      </c>
      <c r="E4" s="2">
        <f>+ROUND(C4*D4,2)</f>
        <v>827603.89</v>
      </c>
      <c r="F4" s="2"/>
      <c r="G4" s="2"/>
      <c r="H4" s="2">
        <f>+E4*1.1</f>
        <v>910364.2790000001</v>
      </c>
    </row>
    <row r="5" spans="1:15">
      <c r="A5" s="1" t="s">
        <v>396</v>
      </c>
      <c r="B5" s="4">
        <v>0.5</v>
      </c>
      <c r="C5" s="2">
        <f>+B5*$C$4</f>
        <v>32531.599442081788</v>
      </c>
      <c r="D5">
        <v>14.14</v>
      </c>
      <c r="E5" s="2">
        <f t="shared" ref="E5:E7" si="0">+ROUND(C5*D5,2)</f>
        <v>459996.82</v>
      </c>
      <c r="F5" s="2"/>
      <c r="G5" s="2"/>
      <c r="H5" s="2">
        <f>+E5*1.1</f>
        <v>505996.50200000004</v>
      </c>
      <c r="J5" s="12"/>
      <c r="K5" s="13"/>
      <c r="L5" s="13"/>
      <c r="M5" s="13"/>
      <c r="N5" s="13"/>
      <c r="O5" s="12"/>
    </row>
    <row r="6" spans="1:15">
      <c r="A6" s="1" t="s">
        <v>397</v>
      </c>
      <c r="B6" s="4">
        <v>0.25</v>
      </c>
      <c r="C6" s="2">
        <f t="shared" ref="C6:C7" si="1">+B6*$C$4</f>
        <v>16265.799721040894</v>
      </c>
      <c r="D6">
        <v>25.65</v>
      </c>
      <c r="E6" s="2">
        <f t="shared" si="0"/>
        <v>417217.76</v>
      </c>
      <c r="F6" s="2"/>
      <c r="G6" s="2"/>
      <c r="H6" s="2">
        <f>+E6*1.1</f>
        <v>458939.53600000002</v>
      </c>
      <c r="K6" s="2"/>
      <c r="L6" s="2"/>
      <c r="M6" s="2"/>
      <c r="N6" s="2"/>
      <c r="O6" s="14"/>
    </row>
    <row r="7" spans="1:15">
      <c r="A7" s="1" t="s">
        <v>398</v>
      </c>
      <c r="B7" s="4">
        <v>0.25</v>
      </c>
      <c r="C7" s="2">
        <f t="shared" si="1"/>
        <v>16265.799721040894</v>
      </c>
      <c r="D7">
        <v>22.36</v>
      </c>
      <c r="E7" s="2">
        <f t="shared" si="0"/>
        <v>363703.28</v>
      </c>
      <c r="F7" s="2"/>
      <c r="G7" s="2"/>
      <c r="H7" s="2">
        <f>+E7*1.1</f>
        <v>400073.60800000007</v>
      </c>
      <c r="K7" s="2"/>
      <c r="L7" s="2"/>
      <c r="M7" s="2"/>
      <c r="N7" s="2"/>
      <c r="O7" s="14"/>
    </row>
    <row r="8" spans="1:15">
      <c r="E8" s="2"/>
      <c r="F8" s="2"/>
      <c r="G8" s="2"/>
      <c r="H8" s="2"/>
      <c r="K8" s="2"/>
      <c r="L8" s="2"/>
      <c r="M8" s="2"/>
      <c r="N8" s="2"/>
    </row>
    <row r="9" spans="1:15">
      <c r="A9" s="8" t="s">
        <v>7</v>
      </c>
      <c r="B9" s="10">
        <v>0.41589999999999999</v>
      </c>
      <c r="C9" s="7"/>
      <c r="E9" s="2"/>
      <c r="F9" s="2"/>
      <c r="G9" s="2"/>
      <c r="H9" s="2"/>
      <c r="K9" s="2"/>
      <c r="L9" s="2"/>
      <c r="M9" s="2"/>
      <c r="N9" s="2"/>
    </row>
    <row r="10" spans="1:15">
      <c r="A10" s="3" t="s">
        <v>6</v>
      </c>
      <c r="B10" s="5">
        <f>SUM(B11:B13)</f>
        <v>0.99999999999999989</v>
      </c>
      <c r="C10" s="2">
        <f>+'TN 2026'!$G$98*'COSTES 26'!B9</f>
        <v>46327.314528203446</v>
      </c>
      <c r="D10">
        <v>11.78</v>
      </c>
      <c r="E10" s="2">
        <f t="shared" ref="E10:E13" si="2">+ROUND(C10*D10,2)</f>
        <v>545735.77</v>
      </c>
      <c r="F10" s="2"/>
      <c r="G10" s="2"/>
      <c r="H10" s="2">
        <f>+E10*1.1</f>
        <v>600309.34700000007</v>
      </c>
    </row>
    <row r="11" spans="1:15">
      <c r="A11" s="1" t="s">
        <v>394</v>
      </c>
      <c r="B11" s="4">
        <v>0.35</v>
      </c>
      <c r="C11" s="2">
        <f>+B11*$C$10</f>
        <v>16214.560084871206</v>
      </c>
      <c r="D11">
        <v>15.26</v>
      </c>
      <c r="E11" s="2">
        <f t="shared" si="2"/>
        <v>247434.19</v>
      </c>
      <c r="F11" s="2"/>
      <c r="G11" s="2"/>
      <c r="H11" s="2">
        <f>+E11*1.1</f>
        <v>272177.609</v>
      </c>
    </row>
    <row r="12" spans="1:15">
      <c r="A12" s="1" t="s">
        <v>393</v>
      </c>
      <c r="B12" s="4">
        <v>0.3</v>
      </c>
      <c r="C12" s="2">
        <f t="shared" ref="C12:C13" si="3">+B12*$C$10</f>
        <v>13898.194358461033</v>
      </c>
      <c r="D12">
        <v>26.63</v>
      </c>
      <c r="E12" s="2">
        <f t="shared" si="2"/>
        <v>370108.92</v>
      </c>
      <c r="F12" s="2"/>
      <c r="G12" s="2"/>
      <c r="H12" s="2">
        <f>+E12*1.1</f>
        <v>407119.81200000003</v>
      </c>
      <c r="J12" s="12"/>
      <c r="K12" s="13"/>
      <c r="L12" s="13"/>
      <c r="M12" s="13"/>
      <c r="N12" s="13"/>
    </row>
    <row r="13" spans="1:15">
      <c r="A13" s="1" t="s">
        <v>395</v>
      </c>
      <c r="B13" s="4">
        <v>0.35</v>
      </c>
      <c r="C13" s="2">
        <f t="shared" si="3"/>
        <v>16214.560084871206</v>
      </c>
      <c r="D13">
        <v>23.38</v>
      </c>
      <c r="E13" s="2">
        <f t="shared" si="2"/>
        <v>379096.41</v>
      </c>
      <c r="F13" s="2"/>
      <c r="G13" s="2"/>
      <c r="H13" s="2">
        <f>+E13*1.1</f>
        <v>417006.05099999998</v>
      </c>
      <c r="K13" s="2"/>
      <c r="L13" s="2"/>
      <c r="M13" s="2"/>
      <c r="N13" s="2"/>
    </row>
    <row r="14" spans="1:15">
      <c r="E14" s="2"/>
      <c r="F14" s="2"/>
      <c r="G14" s="2"/>
      <c r="H14" s="2"/>
      <c r="K14" s="2"/>
      <c r="L14" s="2"/>
      <c r="M14" s="2"/>
      <c r="N14" s="2"/>
    </row>
    <row r="15" spans="1:15">
      <c r="A15" s="1" t="s">
        <v>8</v>
      </c>
      <c r="C15" s="2">
        <f>+'TN 2026'!P3</f>
        <v>2847.4460321811507</v>
      </c>
      <c r="D15">
        <v>12.67</v>
      </c>
      <c r="E15" s="2">
        <f t="shared" ref="E15" si="4">+ROUND(C15*D15,2)</f>
        <v>36077.14</v>
      </c>
      <c r="F15" s="2"/>
      <c r="G15" s="2"/>
      <c r="H15" s="2">
        <f>+E15*1.1</f>
        <v>39684.853999999999</v>
      </c>
      <c r="K15" s="2"/>
      <c r="L15" s="2"/>
      <c r="M15" s="2"/>
      <c r="N15" s="2"/>
    </row>
    <row r="16" spans="1:15">
      <c r="E16" s="2"/>
      <c r="F16" s="2"/>
      <c r="G16" s="2"/>
      <c r="H16" s="2"/>
      <c r="K16" s="2"/>
      <c r="L16" s="2"/>
      <c r="M16" s="2"/>
      <c r="N16" s="2"/>
    </row>
    <row r="17" spans="1:9">
      <c r="A17" s="1" t="s">
        <v>391</v>
      </c>
      <c r="C17" s="2">
        <f>+C7</f>
        <v>16265.799721040894</v>
      </c>
      <c r="D17">
        <v>72.83</v>
      </c>
      <c r="E17" s="2">
        <f t="shared" ref="E17:E22" si="5">+ROUND(C17*D17,2)</f>
        <v>1184638.19</v>
      </c>
      <c r="F17" s="4">
        <v>0.4289</v>
      </c>
      <c r="G17" s="2">
        <f>+(C17)*F17*$G$1</f>
        <v>253243.37446286611</v>
      </c>
      <c r="H17" s="2">
        <f>+(E17)*1.1+G17</f>
        <v>1556345.3834628663</v>
      </c>
      <c r="I17" s="2">
        <f>+F17*C17*$I$1*1.1</f>
        <v>90553.691474600622</v>
      </c>
    </row>
    <row r="18" spans="1:9">
      <c r="A18" s="1" t="s">
        <v>392</v>
      </c>
      <c r="C18" s="2">
        <f>+C13</f>
        <v>16214.560084871206</v>
      </c>
      <c r="D18">
        <f>56.34*1.0885</f>
        <v>61.326090000000008</v>
      </c>
      <c r="E18" s="2">
        <f t="shared" si="5"/>
        <v>994375.57</v>
      </c>
      <c r="F18" s="4">
        <v>0.4289</v>
      </c>
      <c r="G18" s="2">
        <f t="shared" ref="G18:G21" si="6">+(C18)*F18*$G$1</f>
        <v>252445.62098056573</v>
      </c>
      <c r="H18" s="2">
        <f t="shared" ref="H18:H22" si="7">+(E18)*1.1+G18</f>
        <v>1346258.7479805658</v>
      </c>
      <c r="I18" s="2">
        <f t="shared" ref="I18:I22" si="8">+F18*C18*$I$1*1.1</f>
        <v>90268.43416880838</v>
      </c>
    </row>
    <row r="19" spans="1:9">
      <c r="A19" s="1" t="s">
        <v>401</v>
      </c>
      <c r="B19" s="2"/>
      <c r="C19" s="2">
        <f>+C5+C11</f>
        <v>48746.159526952993</v>
      </c>
      <c r="D19" s="168">
        <v>167.88</v>
      </c>
      <c r="E19" s="2">
        <f t="shared" si="5"/>
        <v>8183505.2599999998</v>
      </c>
      <c r="F19" s="4">
        <v>0.67949999999999999</v>
      </c>
      <c r="G19" s="2">
        <f>+(C19)*F19*$H$1</f>
        <v>1093059.5081526304</v>
      </c>
      <c r="H19" s="2">
        <f>+(E19)*1.1+G19</f>
        <v>10094915.29415263</v>
      </c>
      <c r="I19" s="2">
        <f t="shared" si="8"/>
        <v>429936.73987336806</v>
      </c>
    </row>
    <row r="20" spans="1:9">
      <c r="A20" s="1" t="s">
        <v>399</v>
      </c>
      <c r="B20" s="2">
        <f>+C6+C12+C15</f>
        <v>33011.440111683078</v>
      </c>
      <c r="C20" s="2">
        <f>+IF(($C$6+$C$12+C15)&lt;25000,($C$6+$C$12+C15),0)</f>
        <v>0</v>
      </c>
      <c r="D20">
        <v>90.6</v>
      </c>
      <c r="E20" s="2">
        <f t="shared" si="5"/>
        <v>0</v>
      </c>
      <c r="F20" s="4">
        <v>0.64739999999999998</v>
      </c>
      <c r="G20" s="2">
        <f t="shared" si="6"/>
        <v>0</v>
      </c>
      <c r="H20" s="2">
        <f t="shared" si="7"/>
        <v>0</v>
      </c>
      <c r="I20" s="2">
        <f t="shared" si="8"/>
        <v>0</v>
      </c>
    </row>
    <row r="21" spans="1:9">
      <c r="A21" s="1" t="s">
        <v>400</v>
      </c>
      <c r="C21" s="2">
        <f>+IF(($C$6+$C$12+C15)&gt;20000,($C$6+$C$12+C15),0)</f>
        <v>33011.440111683078</v>
      </c>
      <c r="D21">
        <f>76.55*1.01*1.0885</f>
        <v>84.15792175</v>
      </c>
      <c r="E21" s="2">
        <f t="shared" si="5"/>
        <v>2778174.19</v>
      </c>
      <c r="F21" s="4">
        <v>0.64739999999999998</v>
      </c>
      <c r="G21" s="2">
        <f t="shared" si="6"/>
        <v>775789.30971742154</v>
      </c>
      <c r="H21" s="2">
        <f t="shared" si="7"/>
        <v>3831780.9187174216</v>
      </c>
      <c r="I21" s="2">
        <f t="shared" si="8"/>
        <v>277403.45014138106</v>
      </c>
    </row>
    <row r="22" spans="1:9">
      <c r="A22" s="1" t="s">
        <v>10</v>
      </c>
      <c r="C22" s="2">
        <f>+'TN 2026'!P5</f>
        <v>10954.41257439115</v>
      </c>
      <c r="D22" s="196">
        <v>123.21</v>
      </c>
      <c r="E22" s="2">
        <f t="shared" si="5"/>
        <v>1349693.17</v>
      </c>
      <c r="F22" s="4">
        <v>0.40229999999999999</v>
      </c>
      <c r="G22" s="2">
        <v>0</v>
      </c>
      <c r="H22" s="2">
        <f t="shared" si="7"/>
        <v>1484662.487</v>
      </c>
      <c r="I22" s="2">
        <f t="shared" si="8"/>
        <v>57202.343119234734</v>
      </c>
    </row>
    <row r="23" spans="1:9">
      <c r="B23" s="2"/>
    </row>
    <row r="24" spans="1:9">
      <c r="C24" s="9">
        <f>SUM(C17:C22)</f>
        <v>125192.37201893932</v>
      </c>
      <c r="E24" s="186">
        <f>SUM(E4:E23)</f>
        <v>18137360.560000002</v>
      </c>
      <c r="F24" s="186"/>
      <c r="G24" s="186">
        <f>SUM(G17:G23)</f>
        <v>2374537.8133134837</v>
      </c>
      <c r="H24" s="186">
        <f>SUM(H4:H22)+I24</f>
        <v>23270999.088090878</v>
      </c>
      <c r="I24" s="2">
        <f>SUM(I17:I22)</f>
        <v>945364.65877739294</v>
      </c>
    </row>
    <row r="25" spans="1:9">
      <c r="E25" s="2">
        <f>+E24</f>
        <v>18137360.560000002</v>
      </c>
      <c r="F25" s="2">
        <f>+E25*1.1</f>
        <v>19951096.616000004</v>
      </c>
    </row>
    <row r="26" spans="1:9">
      <c r="C26" s="2">
        <f>+C29+C35+C41+C46</f>
        <v>929.87106005069506</v>
      </c>
    </row>
    <row r="27" spans="1:9" ht="58">
      <c r="A27" t="s">
        <v>13</v>
      </c>
      <c r="D27" s="11" t="s">
        <v>389</v>
      </c>
      <c r="E27" s="11" t="s">
        <v>390</v>
      </c>
      <c r="F27" s="11" t="s">
        <v>12</v>
      </c>
      <c r="G27" s="11" t="s">
        <v>384</v>
      </c>
      <c r="H27" s="11" t="s">
        <v>11</v>
      </c>
    </row>
    <row r="28" spans="1:9">
      <c r="A28" s="6" t="s">
        <v>1</v>
      </c>
      <c r="B28" s="10">
        <v>1</v>
      </c>
      <c r="C28" s="7"/>
    </row>
    <row r="29" spans="1:9">
      <c r="A29" s="3" t="s">
        <v>2</v>
      </c>
      <c r="B29" s="5">
        <f>SUM(B30:B33)</f>
        <v>1</v>
      </c>
      <c r="C29" s="178">
        <f>+B28*('TN 2026'!K97-C45-C46)</f>
        <v>787.4329943603226</v>
      </c>
      <c r="D29">
        <f>+D4</f>
        <v>12.72</v>
      </c>
      <c r="E29" s="2">
        <f>+ROUND(C29*D29,2)</f>
        <v>10016.15</v>
      </c>
      <c r="F29" s="2"/>
      <c r="G29" s="2"/>
      <c r="H29" s="2">
        <f>+E29*1.1</f>
        <v>11017.765000000001</v>
      </c>
    </row>
    <row r="30" spans="1:9">
      <c r="A30" s="1" t="s">
        <v>3</v>
      </c>
      <c r="B30" s="4">
        <f>+C30/$C$29</f>
        <v>0</v>
      </c>
      <c r="C30" s="2">
        <v>0</v>
      </c>
      <c r="D30">
        <f t="shared" ref="D30:D33" si="9">+D5</f>
        <v>14.14</v>
      </c>
      <c r="E30" s="2">
        <f t="shared" ref="E30:E46" si="10">+ROUND(C30*D30,2)</f>
        <v>0</v>
      </c>
      <c r="F30" s="2"/>
      <c r="G30" s="2"/>
      <c r="H30" s="2">
        <f>+E30*1.1</f>
        <v>0</v>
      </c>
    </row>
    <row r="31" spans="1:9">
      <c r="A31" s="1" t="s">
        <v>4</v>
      </c>
      <c r="B31" s="4">
        <f t="shared" ref="B31:B33" si="11">+C31/$C$29</f>
        <v>0</v>
      </c>
      <c r="C31" s="2">
        <v>0</v>
      </c>
      <c r="D31">
        <f t="shared" si="9"/>
        <v>25.65</v>
      </c>
      <c r="E31" s="2">
        <f t="shared" si="10"/>
        <v>0</v>
      </c>
      <c r="F31" s="2"/>
      <c r="G31" s="2"/>
      <c r="H31" s="2">
        <f>+E31*1.1</f>
        <v>0</v>
      </c>
    </row>
    <row r="32" spans="1:9">
      <c r="A32" s="1" t="s">
        <v>5</v>
      </c>
      <c r="B32" s="4">
        <f t="shared" si="11"/>
        <v>1</v>
      </c>
      <c r="C32" s="2">
        <f>+C29</f>
        <v>787.4329943603226</v>
      </c>
      <c r="D32">
        <f t="shared" si="9"/>
        <v>22.36</v>
      </c>
      <c r="E32" s="2">
        <f t="shared" si="10"/>
        <v>17607</v>
      </c>
      <c r="F32" s="2"/>
      <c r="G32" s="2"/>
      <c r="H32" s="2">
        <f>+E32*1.1</f>
        <v>19367.7</v>
      </c>
    </row>
    <row r="33" spans="1:9">
      <c r="A33" s="1" t="s">
        <v>14</v>
      </c>
      <c r="B33" s="4">
        <f t="shared" si="11"/>
        <v>0</v>
      </c>
      <c r="C33" s="2">
        <v>0</v>
      </c>
      <c r="D33">
        <f t="shared" si="9"/>
        <v>0</v>
      </c>
      <c r="E33" s="2">
        <f t="shared" si="10"/>
        <v>0</v>
      </c>
      <c r="F33" s="2"/>
      <c r="G33" s="2"/>
      <c r="H33" s="2"/>
    </row>
    <row r="34" spans="1:9">
      <c r="A34" s="8" t="s">
        <v>7</v>
      </c>
      <c r="B34" s="10">
        <v>0</v>
      </c>
      <c r="C34" s="7"/>
      <c r="E34" s="2"/>
      <c r="F34" s="2"/>
      <c r="G34" s="2"/>
      <c r="H34" s="2"/>
    </row>
    <row r="35" spans="1:9">
      <c r="A35" s="3" t="s">
        <v>6</v>
      </c>
      <c r="B35" s="5">
        <f>SUM(B36:B39)</f>
        <v>0</v>
      </c>
      <c r="C35" s="178">
        <f>+B34*'DATOS 25 - REALES'!G48</f>
        <v>0</v>
      </c>
      <c r="D35">
        <f>+D10</f>
        <v>11.78</v>
      </c>
      <c r="E35" s="2">
        <f t="shared" si="10"/>
        <v>0</v>
      </c>
      <c r="F35" s="2"/>
      <c r="G35" s="2"/>
      <c r="H35" s="2">
        <f>+E35*1.1</f>
        <v>0</v>
      </c>
    </row>
    <row r="36" spans="1:9">
      <c r="A36" s="1" t="s">
        <v>3</v>
      </c>
      <c r="B36" s="4">
        <v>0</v>
      </c>
      <c r="C36" s="2">
        <f>+B36*$C$35</f>
        <v>0</v>
      </c>
      <c r="D36">
        <f t="shared" ref="D36:D39" si="12">+D11</f>
        <v>15.26</v>
      </c>
      <c r="E36" s="2">
        <f t="shared" si="10"/>
        <v>0</v>
      </c>
      <c r="F36" s="2"/>
      <c r="G36" s="2"/>
      <c r="H36" s="2">
        <f>+E36*1.1</f>
        <v>0</v>
      </c>
    </row>
    <row r="37" spans="1:9">
      <c r="A37" s="1" t="s">
        <v>4</v>
      </c>
      <c r="B37" s="4">
        <v>0</v>
      </c>
      <c r="C37" s="2">
        <f t="shared" ref="C37:C39" si="13">+B37*$C$35</f>
        <v>0</v>
      </c>
      <c r="D37">
        <f t="shared" si="12"/>
        <v>26.63</v>
      </c>
      <c r="E37" s="2">
        <f t="shared" si="10"/>
        <v>0</v>
      </c>
      <c r="F37" s="2"/>
      <c r="G37" s="2"/>
      <c r="H37" s="2">
        <f>+E37*1.1</f>
        <v>0</v>
      </c>
    </row>
    <row r="38" spans="1:9">
      <c r="A38" s="1" t="s">
        <v>5</v>
      </c>
      <c r="B38" s="4">
        <v>0</v>
      </c>
      <c r="C38" s="2">
        <f t="shared" si="13"/>
        <v>0</v>
      </c>
      <c r="D38">
        <f t="shared" si="12"/>
        <v>23.38</v>
      </c>
      <c r="E38" s="2">
        <f t="shared" si="10"/>
        <v>0</v>
      </c>
      <c r="F38" s="2"/>
      <c r="G38" s="2"/>
      <c r="H38" s="2">
        <f>+E38*1.1</f>
        <v>0</v>
      </c>
    </row>
    <row r="39" spans="1:9">
      <c r="A39" s="1" t="s">
        <v>14</v>
      </c>
      <c r="B39" s="4">
        <v>0</v>
      </c>
      <c r="C39" s="2">
        <f t="shared" si="13"/>
        <v>0</v>
      </c>
      <c r="D39">
        <f t="shared" si="12"/>
        <v>0</v>
      </c>
      <c r="E39" s="2">
        <f t="shared" si="10"/>
        <v>0</v>
      </c>
      <c r="F39" s="2"/>
      <c r="G39" s="2"/>
      <c r="H39" s="2"/>
    </row>
    <row r="40" spans="1:9">
      <c r="A40" s="1"/>
      <c r="E40" s="2"/>
      <c r="F40" s="2"/>
      <c r="G40" s="2"/>
      <c r="H40" s="2"/>
    </row>
    <row r="41" spans="1:9">
      <c r="A41" s="1" t="s">
        <v>8</v>
      </c>
      <c r="C41" s="2">
        <f>+'TN 2026'!O3</f>
        <v>65</v>
      </c>
      <c r="D41">
        <f>+D15</f>
        <v>12.67</v>
      </c>
      <c r="E41" s="2">
        <f>+ROUND(C41*D41,2)</f>
        <v>823.55</v>
      </c>
      <c r="F41" s="2"/>
      <c r="G41" s="2"/>
      <c r="H41" s="2">
        <f>+E41*1.1</f>
        <v>905.90499999999997</v>
      </c>
    </row>
    <row r="42" spans="1:9">
      <c r="E42" s="2"/>
      <c r="F42" s="2"/>
      <c r="G42" s="2"/>
      <c r="H42" s="2"/>
    </row>
    <row r="43" spans="1:9">
      <c r="A43" s="1" t="s">
        <v>9</v>
      </c>
      <c r="C43" s="2">
        <f>+C32+C38</f>
        <v>787.4329943603226</v>
      </c>
      <c r="D43">
        <v>42.17</v>
      </c>
      <c r="E43" s="2">
        <f t="shared" si="10"/>
        <v>33206.050000000003</v>
      </c>
      <c r="F43" s="4">
        <v>0.2</v>
      </c>
      <c r="G43" s="2">
        <f>+(C43)*F43*$G$1</f>
        <v>5716.7635390559417</v>
      </c>
      <c r="H43" s="2">
        <f>+(E43)*1.1+G43</f>
        <v>42243.418539055951</v>
      </c>
      <c r="I43" s="2">
        <f>+F43*C43*$I$1*1.1</f>
        <v>2044.1760533593979</v>
      </c>
    </row>
    <row r="44" spans="1:9">
      <c r="A44" s="1" t="s">
        <v>15</v>
      </c>
      <c r="C44" s="2">
        <f>+C30+C36</f>
        <v>0</v>
      </c>
      <c r="D44">
        <v>0</v>
      </c>
      <c r="E44" s="2">
        <f t="shared" si="10"/>
        <v>0</v>
      </c>
      <c r="F44" s="4"/>
      <c r="G44" s="2">
        <f t="shared" ref="G44:G45" si="14">+(C44)*F44*$G$1</f>
        <v>0</v>
      </c>
      <c r="H44" s="2">
        <f t="shared" ref="H44:H46" si="15">+(E44)*1.1+G44</f>
        <v>0</v>
      </c>
      <c r="I44" s="2">
        <f t="shared" ref="I44:I46" si="16">+F44*C44*$I$1*1.1</f>
        <v>0</v>
      </c>
    </row>
    <row r="45" spans="1:9">
      <c r="A45" s="1" t="s">
        <v>16</v>
      </c>
      <c r="C45" s="2">
        <f>+'TN 2026'!O3</f>
        <v>65</v>
      </c>
      <c r="D45">
        <f>60.7*1.0885</f>
        <v>66.071950000000001</v>
      </c>
      <c r="E45" s="2">
        <f t="shared" si="10"/>
        <v>4294.68</v>
      </c>
      <c r="F45" s="4">
        <v>0.2</v>
      </c>
      <c r="G45" s="2">
        <f t="shared" si="14"/>
        <v>471.9</v>
      </c>
      <c r="H45" s="2">
        <f t="shared" si="15"/>
        <v>5196.0480000000007</v>
      </c>
      <c r="I45" s="2">
        <f t="shared" si="16"/>
        <v>168.74</v>
      </c>
    </row>
    <row r="46" spans="1:9">
      <c r="A46" s="1" t="s">
        <v>10</v>
      </c>
      <c r="C46" s="2">
        <f>+'TN 2026'!O5</f>
        <v>77.438065690372426</v>
      </c>
      <c r="D46">
        <v>103.35</v>
      </c>
      <c r="E46" s="2">
        <f t="shared" si="10"/>
        <v>8003.22</v>
      </c>
      <c r="F46" s="4">
        <v>0.2</v>
      </c>
      <c r="G46" s="2">
        <v>0</v>
      </c>
      <c r="H46" s="2">
        <f t="shared" si="15"/>
        <v>8803.5420000000013</v>
      </c>
      <c r="I46" s="2">
        <f t="shared" si="16"/>
        <v>201.02921853220687</v>
      </c>
    </row>
    <row r="48" spans="1:9">
      <c r="C48" s="9">
        <f>SUM(C43:C46)</f>
        <v>929.87106005069506</v>
      </c>
      <c r="E48" s="186">
        <f>SUM(E29:E47)</f>
        <v>73950.649999999994</v>
      </c>
      <c r="F48" s="186"/>
      <c r="G48" s="186">
        <f>SUM(G43:G47)</f>
        <v>6188.6635390559413</v>
      </c>
      <c r="H48" s="186">
        <f>SUM(H29:H46)+I48</f>
        <v>89948.32381094755</v>
      </c>
      <c r="I48" s="2">
        <f>SUM(I43:I46)</f>
        <v>2413.9452718916045</v>
      </c>
    </row>
    <row r="49" spans="4:8">
      <c r="E49" s="2">
        <f>+E48</f>
        <v>73950.649999999994</v>
      </c>
      <c r="F49" s="2">
        <f>+E49*1.1</f>
        <v>81345.714999999997</v>
      </c>
    </row>
    <row r="50" spans="4:8">
      <c r="E50" t="s">
        <v>406</v>
      </c>
      <c r="F50" t="s">
        <v>407</v>
      </c>
      <c r="G50" t="s">
        <v>408</v>
      </c>
      <c r="H50" t="s">
        <v>383</v>
      </c>
    </row>
    <row r="51" spans="4:8">
      <c r="D51" s="187" t="s">
        <v>385</v>
      </c>
      <c r="E51" s="186">
        <f>+E48+E24</f>
        <v>18211311.210000001</v>
      </c>
      <c r="F51" s="186">
        <f>+E51*1.1+I48+I24</f>
        <v>20980220.935049288</v>
      </c>
      <c r="G51" s="186">
        <f>+G24+G48</f>
        <v>2380726.4768525395</v>
      </c>
      <c r="H51" s="186">
        <f>+H24+H48</f>
        <v>23360947.411901824</v>
      </c>
    </row>
    <row r="52" spans="4:8">
      <c r="H52" s="2"/>
    </row>
    <row r="53" spans="4:8">
      <c r="D53" s="1" t="s">
        <v>403</v>
      </c>
      <c r="E53" s="2">
        <f>+SUM(E4:E15)*1.1+SUM(E29:E41)*1.1</f>
        <v>4042962.9680000008</v>
      </c>
      <c r="G53" s="4">
        <f>+E53/$F$57</f>
        <v>0.12655272660105168</v>
      </c>
      <c r="H53" s="198"/>
    </row>
    <row r="54" spans="4:8">
      <c r="D54" s="1" t="s">
        <v>404</v>
      </c>
      <c r="E54" s="2">
        <f>+SUM(E17:E22)*1.1+SUM(E43:E46)*1.1+I24+I48</f>
        <v>16937257.967049282</v>
      </c>
      <c r="F54" s="2">
        <f>+E53+E54</f>
        <v>20980220.935049284</v>
      </c>
      <c r="G54" s="4">
        <f t="shared" ref="G54:G56" si="17">+E54/$F$57</f>
        <v>0.53016962901735676</v>
      </c>
    </row>
    <row r="55" spans="4:8">
      <c r="D55" s="1" t="s">
        <v>405</v>
      </c>
      <c r="E55" s="2">
        <f>+G51</f>
        <v>2380726.4768525395</v>
      </c>
      <c r="F55" s="2">
        <f>+F54+E55</f>
        <v>23360947.411901824</v>
      </c>
      <c r="G55" s="4">
        <f t="shared" si="17"/>
        <v>7.4521441161269714E-2</v>
      </c>
    </row>
    <row r="56" spans="4:8">
      <c r="D56" s="1" t="s">
        <v>521</v>
      </c>
      <c r="E56" s="131">
        <f>+ecoparques!D12</f>
        <v>8585918.3458399996</v>
      </c>
      <c r="G56" s="4">
        <f t="shared" si="17"/>
        <v>0.26875620322032173</v>
      </c>
    </row>
    <row r="57" spans="4:8">
      <c r="F57" s="2">
        <f>+E56+F55</f>
        <v>31946865.757741824</v>
      </c>
      <c r="G57" s="5">
        <f>SUM(G53:G56)</f>
        <v>0.99999999999999978</v>
      </c>
    </row>
  </sheetData>
  <phoneticPr fontId="25" type="noConversion"/>
  <conditionalFormatting sqref="C4">
    <cfRule type="cellIs" dxfId="8" priority="27" operator="equal">
      <formula>+$C$5+$C$6+$C$7</formula>
    </cfRule>
    <cfRule type="cellIs" dxfId="7" priority="28" operator="equal">
      <formula>"suma($C$6:$C$8)"</formula>
    </cfRule>
  </conditionalFormatting>
  <conditionalFormatting sqref="C10">
    <cfRule type="cellIs" dxfId="6" priority="1" operator="equal">
      <formula>+$C$5+$C$6+$C$7</formula>
    </cfRule>
    <cfRule type="cellIs" dxfId="5" priority="2" operator="equal">
      <formula>"suma($C$6:$C$8)"</formula>
    </cfRule>
  </conditionalFormatting>
  <conditionalFormatting sqref="C29">
    <cfRule type="cellIs" dxfId="4" priority="13" operator="equal">
      <formula>+$C$5+$C$6+$C$7</formula>
    </cfRule>
    <cfRule type="cellIs" dxfId="3" priority="14" operator="equal">
      <formula>"suma($C$6:$C$8)"</formula>
    </cfRule>
  </conditionalFormatting>
  <conditionalFormatting sqref="C35">
    <cfRule type="cellIs" dxfId="2" priority="7" operator="equal">
      <formula>+$C$5+$C$6+$C$7</formula>
    </cfRule>
    <cfRule type="cellIs" dxfId="1" priority="8" operator="equal">
      <formula>"suma($C$6:$C$8)"</formula>
    </cfRule>
  </conditionalFormatting>
  <pageMargins left="0.7" right="0.7" top="0.75" bottom="0.75" header="0.3" footer="0.3"/>
  <pageSetup paperSize="8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5404-C731-46B3-8837-EF3F02283DFD}">
  <sheetPr>
    <pageSetUpPr fitToPage="1"/>
  </sheetPr>
  <dimension ref="A1:R325"/>
  <sheetViews>
    <sheetView topLeftCell="A95" zoomScale="75" zoomScaleNormal="75" workbookViewId="0">
      <selection activeCell="A204" sqref="A204"/>
    </sheetView>
  </sheetViews>
  <sheetFormatPr baseColWidth="10" defaultRowHeight="14.5"/>
  <cols>
    <col min="1" max="1" width="17" customWidth="1"/>
    <col min="2" max="2" width="55.453125" customWidth="1"/>
    <col min="3" max="3" width="63" bestFit="1" customWidth="1"/>
    <col min="5" max="5" width="27.7265625" customWidth="1"/>
    <col min="6" max="6" width="16.81640625" customWidth="1"/>
    <col min="7" max="7" width="19.81640625" customWidth="1"/>
    <col min="8" max="8" width="45.81640625" bestFit="1" customWidth="1"/>
    <col min="9" max="9" width="20" customWidth="1"/>
    <col min="10" max="10" width="13.81640625" customWidth="1"/>
    <col min="11" max="11" width="20.7265625" bestFit="1" customWidth="1"/>
    <col min="12" max="12" width="16.81640625" customWidth="1"/>
    <col min="13" max="13" width="27.26953125" customWidth="1"/>
    <col min="14" max="14" width="27" customWidth="1"/>
    <col min="15" max="15" width="27.1796875" hidden="1" customWidth="1"/>
    <col min="16" max="16" width="17.7265625" customWidth="1"/>
  </cols>
  <sheetData>
    <row r="1" spans="1:18">
      <c r="B1" s="18" t="s">
        <v>402</v>
      </c>
    </row>
    <row r="2" spans="1:18">
      <c r="A2" s="199">
        <f>+'COSTES 26'!E53</f>
        <v>4042962.9680000008</v>
      </c>
      <c r="B2" s="17">
        <f>(A2+K5)/'TN 2026'!E102</f>
        <v>33.517661744664977</v>
      </c>
      <c r="C2" s="18"/>
      <c r="D2" s="18"/>
      <c r="E2" s="18"/>
      <c r="F2" s="18"/>
      <c r="G2" s="19"/>
      <c r="H2" s="19"/>
      <c r="I2" s="18"/>
      <c r="J2" s="20"/>
      <c r="K2" s="21"/>
      <c r="L2" s="18"/>
      <c r="M2" s="18"/>
      <c r="N2" s="18"/>
      <c r="O2" s="22"/>
      <c r="P2" s="22"/>
      <c r="Q2" s="18"/>
      <c r="R2" s="18"/>
    </row>
    <row r="3" spans="1:18">
      <c r="A3" s="18"/>
      <c r="B3" s="18" t="s">
        <v>17</v>
      </c>
      <c r="C3" s="16"/>
      <c r="D3" s="16"/>
      <c r="E3" s="16"/>
      <c r="F3" s="18"/>
      <c r="G3" s="19"/>
      <c r="H3" s="19"/>
      <c r="I3" s="18"/>
      <c r="J3" s="20"/>
      <c r="K3" s="21"/>
      <c r="L3" s="18"/>
      <c r="M3" s="18" t="s">
        <v>411</v>
      </c>
      <c r="N3" s="18" t="s">
        <v>412</v>
      </c>
      <c r="O3" s="23"/>
      <c r="P3" s="23"/>
      <c r="Q3" s="18"/>
      <c r="R3" s="18"/>
    </row>
    <row r="4" spans="1:18">
      <c r="A4" s="41">
        <f>+'COSTES 26'!E54</f>
        <v>16937257.967049282</v>
      </c>
      <c r="B4" s="17">
        <f>A4/'TN 2026'!E102</f>
        <v>134.29239405805308</v>
      </c>
      <c r="C4" s="18" t="s">
        <v>18</v>
      </c>
      <c r="D4" s="18"/>
      <c r="E4" s="29"/>
      <c r="F4" s="24" t="s">
        <v>512</v>
      </c>
      <c r="G4" s="24"/>
      <c r="H4" s="24"/>
      <c r="I4" s="24"/>
      <c r="J4" s="25"/>
      <c r="K4" s="26">
        <f>+'COSTES 26'!F51</f>
        <v>20980220.935049288</v>
      </c>
      <c r="L4" s="27"/>
      <c r="M4" s="28">
        <f>+'COSTES 26'!F49+'COSTES 26'!I48</f>
        <v>83759.660271891596</v>
      </c>
      <c r="N4" s="28">
        <f>+'COSTES 26'!F25+'COSTES 26'!I24</f>
        <v>20896461.274777398</v>
      </c>
      <c r="O4" s="208">
        <f>+N4+M4</f>
        <v>20980220.935049288</v>
      </c>
      <c r="P4" s="18"/>
      <c r="Q4" s="18"/>
      <c r="R4" s="18"/>
    </row>
    <row r="5" spans="1:18">
      <c r="A5" s="18"/>
      <c r="B5" s="18" t="s">
        <v>20</v>
      </c>
      <c r="C5" s="18" t="s">
        <v>18</v>
      </c>
      <c r="D5" s="29"/>
      <c r="E5" s="29" t="s">
        <v>21</v>
      </c>
      <c r="F5" s="30" t="s">
        <v>19</v>
      </c>
      <c r="G5" s="31"/>
      <c r="H5" s="31"/>
      <c r="I5" s="31"/>
      <c r="J5" s="32"/>
      <c r="K5" s="33">
        <f>(N6/4)*1.21</f>
        <v>184359.71399999998</v>
      </c>
      <c r="L5" s="18"/>
      <c r="M5" s="18">
        <v>0</v>
      </c>
      <c r="N5" s="22">
        <f>K5</f>
        <v>184359.71399999998</v>
      </c>
      <c r="O5" s="18"/>
      <c r="P5" s="18"/>
      <c r="Q5" s="18"/>
      <c r="R5" s="18"/>
    </row>
    <row r="6" spans="1:18" ht="15" thickBot="1">
      <c r="A6" s="48">
        <f>+'COSTES 26'!E55</f>
        <v>2380726.4768525395</v>
      </c>
      <c r="B6" s="17">
        <f>A6/'TN 2026'!E100</f>
        <v>18.876341069842034</v>
      </c>
      <c r="C6" s="18"/>
      <c r="D6" s="18"/>
      <c r="E6" s="18"/>
      <c r="F6" s="233" t="s">
        <v>22</v>
      </c>
      <c r="G6" s="233"/>
      <c r="H6" s="35"/>
      <c r="I6" s="35"/>
      <c r="J6" s="35"/>
      <c r="K6" s="36">
        <f>SUM(K4+K5)</f>
        <v>21164580.64904929</v>
      </c>
      <c r="L6" s="27"/>
      <c r="M6" s="18"/>
      <c r="N6" s="18">
        <v>609453.6</v>
      </c>
      <c r="O6" s="18"/>
      <c r="P6" s="18"/>
      <c r="Q6" s="18"/>
      <c r="R6" s="18"/>
    </row>
    <row r="7" spans="1:18">
      <c r="A7" s="18"/>
      <c r="B7" s="18"/>
      <c r="C7" s="18"/>
      <c r="D7" s="18"/>
      <c r="E7" s="18"/>
      <c r="F7" s="34" t="s">
        <v>23</v>
      </c>
      <c r="G7" s="18"/>
      <c r="H7" s="27"/>
      <c r="I7" s="27"/>
      <c r="J7" s="18"/>
      <c r="K7" s="37">
        <v>0</v>
      </c>
      <c r="L7" s="18"/>
      <c r="M7" s="18"/>
      <c r="N7" s="18" t="s">
        <v>18</v>
      </c>
      <c r="O7" s="18"/>
      <c r="P7" s="18"/>
      <c r="Q7" s="18"/>
      <c r="R7" s="18"/>
    </row>
    <row r="8" spans="1:18">
      <c r="A8" s="18"/>
      <c r="B8" s="18"/>
      <c r="C8" s="34" t="s">
        <v>24</v>
      </c>
      <c r="D8" s="34"/>
      <c r="E8" s="34"/>
      <c r="F8" s="18"/>
      <c r="G8" s="18"/>
      <c r="H8" s="27"/>
      <c r="I8" s="27"/>
      <c r="J8" s="18"/>
      <c r="K8" s="37">
        <f>+ecoparques!D12</f>
        <v>8585918.3458399996</v>
      </c>
      <c r="L8" s="18"/>
      <c r="M8" s="18"/>
      <c r="N8" s="18"/>
      <c r="O8" s="18"/>
      <c r="P8" s="18"/>
      <c r="Q8" s="18"/>
      <c r="R8" s="18"/>
    </row>
    <row r="9" spans="1:18" ht="15.5">
      <c r="A9" s="18"/>
      <c r="B9" s="234" t="s">
        <v>25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18"/>
      <c r="P9" s="18"/>
      <c r="Q9" s="18"/>
      <c r="R9" s="18"/>
    </row>
    <row r="10" spans="1:18" ht="15" thickBot="1">
      <c r="A10" s="18"/>
      <c r="B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5" thickBot="1">
      <c r="A11" s="18"/>
      <c r="B11" s="38" t="s">
        <v>26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>
      <c r="A12" s="18"/>
      <c r="B12" s="34"/>
      <c r="C12" s="39" t="s">
        <v>27</v>
      </c>
      <c r="D12" s="39"/>
      <c r="E12" s="39"/>
      <c r="F12" s="215">
        <v>25000</v>
      </c>
      <c r="G12" s="18" t="s">
        <v>28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>
      <c r="A13" s="18"/>
      <c r="B13" s="34"/>
      <c r="C13" s="39" t="s">
        <v>513</v>
      </c>
      <c r="D13" s="39"/>
      <c r="E13" s="39"/>
      <c r="F13" s="40">
        <v>54176</v>
      </c>
      <c r="G13" s="18" t="s">
        <v>28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>
      <c r="A14" s="18"/>
      <c r="B14" s="34"/>
      <c r="C14" s="39" t="s">
        <v>29</v>
      </c>
      <c r="D14" s="39"/>
      <c r="E14" s="39"/>
      <c r="F14" s="40">
        <v>2819</v>
      </c>
      <c r="G14" s="18" t="s">
        <v>28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>
      <c r="A15" s="18"/>
      <c r="B15" s="34"/>
      <c r="C15" s="39" t="s">
        <v>30</v>
      </c>
      <c r="D15" s="39"/>
      <c r="E15" s="39"/>
      <c r="F15" s="40">
        <v>42964</v>
      </c>
      <c r="G15" s="18" t="s">
        <v>28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>
      <c r="A16" s="18"/>
      <c r="B16" s="34"/>
      <c r="C16" s="39" t="s">
        <v>31</v>
      </c>
      <c r="D16" s="39"/>
      <c r="E16" s="39"/>
      <c r="F16" s="40"/>
      <c r="G16" s="18" t="s">
        <v>28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>
      <c r="A17" s="18"/>
      <c r="B17" s="34"/>
      <c r="C17" s="39" t="s">
        <v>32</v>
      </c>
      <c r="D17" s="39"/>
      <c r="E17" s="39"/>
      <c r="F17" s="40"/>
      <c r="G17" s="18" t="s">
        <v>28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>
      <c r="A18" s="18"/>
      <c r="B18" s="34"/>
      <c r="C18" s="39" t="s">
        <v>33</v>
      </c>
      <c r="D18" s="39"/>
      <c r="E18" s="39"/>
      <c r="F18" s="40"/>
      <c r="G18" s="40">
        <v>21912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>
      <c r="A19" s="18"/>
      <c r="B19" s="34"/>
      <c r="C19" s="39" t="s">
        <v>34</v>
      </c>
      <c r="D19" s="39"/>
      <c r="E19" s="39"/>
      <c r="F19" s="40"/>
      <c r="G19" s="40">
        <v>19049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>
      <c r="A20" s="18"/>
      <c r="B20" s="34"/>
      <c r="C20" s="39" t="s">
        <v>35</v>
      </c>
      <c r="D20" s="39"/>
      <c r="E20" s="39"/>
      <c r="F20" s="40"/>
      <c r="G20" s="40">
        <v>49568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>
      <c r="A21" s="18"/>
      <c r="B21" s="34"/>
      <c r="C21" s="39" t="s">
        <v>36</v>
      </c>
      <c r="D21" s="39"/>
      <c r="E21" s="39"/>
      <c r="F21" s="40"/>
      <c r="G21" s="40">
        <v>69799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>
      <c r="A22" s="18"/>
      <c r="B22" s="34"/>
      <c r="C22" s="39" t="s">
        <v>37</v>
      </c>
      <c r="D22" s="39"/>
      <c r="E22" s="39"/>
      <c r="F22" s="40"/>
      <c r="G22" s="40">
        <f>81927+2807</f>
        <v>84734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>
      <c r="A23" s="18"/>
      <c r="B23" s="34"/>
      <c r="C23" s="39" t="s">
        <v>38</v>
      </c>
      <c r="D23" s="39"/>
      <c r="E23" s="39"/>
      <c r="F23" s="40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>
      <c r="A24" s="18"/>
      <c r="B24" s="34"/>
      <c r="C24" s="39" t="s">
        <v>39</v>
      </c>
      <c r="D24" s="39"/>
      <c r="E24" s="39"/>
      <c r="F24" s="40"/>
      <c r="G24" s="40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>
      <c r="A25" s="18"/>
      <c r="B25" s="18"/>
      <c r="C25" s="39" t="s">
        <v>40</v>
      </c>
      <c r="D25" s="39"/>
      <c r="E25" s="39"/>
      <c r="F25" s="40"/>
      <c r="G25" s="40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>
      <c r="A26" s="18"/>
      <c r="B26" s="18"/>
      <c r="C26" s="39" t="s">
        <v>41</v>
      </c>
      <c r="D26" s="39"/>
      <c r="E26" s="39"/>
      <c r="F26" s="40"/>
      <c r="G26" s="40">
        <v>75344</v>
      </c>
      <c r="H26" s="41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>
      <c r="A27" s="18"/>
      <c r="B27" s="18"/>
      <c r="C27" s="39" t="s">
        <v>42</v>
      </c>
      <c r="D27" s="39"/>
      <c r="E27" s="39"/>
      <c r="F27" s="40"/>
      <c r="G27" s="40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>
      <c r="A28" s="18"/>
      <c r="B28" s="34"/>
      <c r="C28" s="39" t="s">
        <v>43</v>
      </c>
      <c r="D28" s="39"/>
      <c r="E28" s="39"/>
      <c r="F28" s="40"/>
      <c r="G28" s="40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>
      <c r="A29" s="18"/>
      <c r="B29" s="34"/>
      <c r="C29" s="39" t="s">
        <v>44</v>
      </c>
      <c r="D29" s="39"/>
      <c r="E29" s="39"/>
      <c r="F29" s="40"/>
      <c r="G29" s="40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>
      <c r="A30" s="18"/>
      <c r="B30" s="34"/>
      <c r="C30" s="39" t="s">
        <v>45</v>
      </c>
      <c r="D30" s="39"/>
      <c r="E30" s="39"/>
      <c r="F30" s="40"/>
      <c r="G30" s="40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>
      <c r="A31" s="18"/>
      <c r="B31" s="34"/>
      <c r="C31" s="39" t="s">
        <v>46</v>
      </c>
      <c r="D31" s="39"/>
      <c r="E31" s="39"/>
      <c r="F31" s="40"/>
      <c r="G31" s="40">
        <v>117957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>
      <c r="A32" s="18"/>
      <c r="B32" s="34"/>
      <c r="C32" s="39" t="s">
        <v>47</v>
      </c>
      <c r="D32" s="39"/>
      <c r="E32" s="39"/>
      <c r="F32" s="40"/>
      <c r="G32" s="40">
        <v>51720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>
      <c r="A33" s="18"/>
      <c r="B33" s="34"/>
      <c r="C33" s="39" t="s">
        <v>48</v>
      </c>
      <c r="D33" s="39"/>
      <c r="E33" s="39"/>
      <c r="F33" s="40"/>
      <c r="G33" s="40">
        <v>10000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>
      <c r="A34" s="18"/>
      <c r="B34" s="34"/>
      <c r="C34" s="39" t="s">
        <v>49</v>
      </c>
      <c r="D34" s="39"/>
      <c r="E34" s="39"/>
      <c r="F34" s="215">
        <v>500063</v>
      </c>
      <c r="G34" s="41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>
      <c r="A35" s="18"/>
      <c r="B35" s="34"/>
      <c r="C35" s="39" t="s">
        <v>50</v>
      </c>
      <c r="D35" s="39"/>
      <c r="E35" s="39"/>
      <c r="F35" s="215">
        <v>45000</v>
      </c>
      <c r="G35" s="18" t="s">
        <v>28</v>
      </c>
      <c r="H35" s="18" t="s">
        <v>51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>
      <c r="A36" s="18"/>
      <c r="B36" s="34"/>
      <c r="C36" s="39" t="s">
        <v>52</v>
      </c>
      <c r="D36" s="39"/>
      <c r="E36" s="39"/>
      <c r="F36" s="40">
        <v>2000</v>
      </c>
      <c r="G36" s="18" t="s">
        <v>28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>
      <c r="A37" s="18"/>
      <c r="B37" s="34"/>
      <c r="C37" s="39" t="s">
        <v>53</v>
      </c>
      <c r="D37" s="39"/>
      <c r="E37" s="39"/>
      <c r="F37" s="215">
        <v>7000</v>
      </c>
      <c r="G37" s="18" t="s">
        <v>28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>
      <c r="A38" s="18"/>
      <c r="B38" s="34"/>
      <c r="C38" s="200" t="s">
        <v>410</v>
      </c>
      <c r="D38" s="39"/>
      <c r="E38" s="39"/>
      <c r="F38" s="215">
        <v>18000</v>
      </c>
      <c r="G38" s="18" t="s">
        <v>28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>
      <c r="A39" s="18"/>
      <c r="B39" s="42"/>
      <c r="C39" s="39" t="s">
        <v>54</v>
      </c>
      <c r="D39" s="39"/>
      <c r="E39" s="39"/>
      <c r="F39" s="40">
        <v>0</v>
      </c>
      <c r="G39" s="18" t="s">
        <v>28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>
      <c r="A40" s="18"/>
      <c r="B40" s="43"/>
      <c r="C40" s="39" t="s">
        <v>55</v>
      </c>
      <c r="D40" s="39"/>
      <c r="E40" s="39"/>
      <c r="F40" s="215">
        <v>15000</v>
      </c>
      <c r="G40" s="18" t="s">
        <v>28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>
      <c r="A41" s="18"/>
      <c r="B41" s="43"/>
      <c r="C41" s="39" t="s">
        <v>56</v>
      </c>
      <c r="D41" s="39"/>
      <c r="E41" s="39"/>
      <c r="F41" s="215">
        <v>5000</v>
      </c>
      <c r="G41" s="18" t="s">
        <v>28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>
      <c r="A42" s="18"/>
      <c r="B42" s="43"/>
      <c r="C42" s="39" t="s">
        <v>57</v>
      </c>
      <c r="D42" s="39"/>
      <c r="E42" s="39"/>
      <c r="F42" s="215">
        <v>5000</v>
      </c>
      <c r="G42" s="18" t="s">
        <v>28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>
      <c r="A43" s="18"/>
      <c r="B43" s="43"/>
      <c r="C43" s="39" t="s">
        <v>58</v>
      </c>
      <c r="D43" s="39"/>
      <c r="E43" s="39"/>
      <c r="F43" s="215">
        <v>120000</v>
      </c>
      <c r="G43" s="18" t="s">
        <v>28</v>
      </c>
      <c r="H43" s="18" t="s">
        <v>59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>
      <c r="A44" s="18"/>
      <c r="B44" s="42"/>
      <c r="C44" s="39" t="s">
        <v>60</v>
      </c>
      <c r="D44" s="39"/>
      <c r="E44" s="39"/>
      <c r="F44" s="215">
        <v>5000</v>
      </c>
      <c r="G44" s="18" t="s">
        <v>28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>
      <c r="A45" s="18"/>
      <c r="B45" s="42"/>
      <c r="C45" s="39" t="s">
        <v>61</v>
      </c>
      <c r="D45" s="39"/>
      <c r="E45" s="39"/>
      <c r="F45" s="215">
        <v>20800</v>
      </c>
      <c r="G45" s="18" t="s">
        <v>28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>
      <c r="A46" s="18"/>
      <c r="B46" s="42"/>
      <c r="C46" s="44" t="s">
        <v>62</v>
      </c>
      <c r="D46" s="44"/>
      <c r="E46" s="44"/>
      <c r="F46" s="215">
        <v>3000</v>
      </c>
      <c r="G46" s="18" t="s">
        <v>28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>
      <c r="A47" s="18"/>
      <c r="B47" s="42"/>
      <c r="C47" s="39" t="s">
        <v>63</v>
      </c>
      <c r="D47" s="39"/>
      <c r="E47" s="39"/>
      <c r="F47" s="215">
        <v>500</v>
      </c>
      <c r="G47" s="18" t="s">
        <v>28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>
      <c r="A48" s="18"/>
      <c r="B48" s="42"/>
      <c r="C48" s="39" t="s">
        <v>64</v>
      </c>
      <c r="D48" s="39"/>
      <c r="E48" s="39"/>
      <c r="F48" s="215">
        <v>8400</v>
      </c>
      <c r="G48" s="18" t="s">
        <v>28</v>
      </c>
      <c r="H48" s="18"/>
      <c r="I48" s="18"/>
      <c r="J48" s="29" t="s">
        <v>65</v>
      </c>
      <c r="K48" s="41">
        <f>SUM(F12:F64)</f>
        <v>1242205.7679999999</v>
      </c>
      <c r="L48" s="18"/>
      <c r="M48" s="18"/>
      <c r="N48" s="18"/>
      <c r="O48" s="18"/>
      <c r="P48" s="18"/>
      <c r="Q48" s="18"/>
      <c r="R48" s="18"/>
    </row>
    <row r="49" spans="1:18">
      <c r="A49" s="18"/>
      <c r="B49" s="42"/>
      <c r="C49" s="39" t="s">
        <v>66</v>
      </c>
      <c r="D49" s="39"/>
      <c r="E49" s="39" t="s">
        <v>67</v>
      </c>
      <c r="F49" s="40">
        <v>8000</v>
      </c>
      <c r="G49" s="18" t="s">
        <v>28</v>
      </c>
      <c r="H49" s="41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>
      <c r="A50" s="18"/>
      <c r="B50" s="42"/>
      <c r="C50" s="39" t="s">
        <v>68</v>
      </c>
      <c r="D50" s="39"/>
      <c r="E50" s="39"/>
      <c r="F50" s="215">
        <v>750</v>
      </c>
      <c r="G50" s="18" t="s">
        <v>28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>
      <c r="A51" s="18"/>
      <c r="B51" s="42"/>
      <c r="C51" s="39" t="s">
        <v>69</v>
      </c>
      <c r="D51" s="39"/>
      <c r="E51" s="39"/>
      <c r="F51" s="40">
        <f>20846.6</f>
        <v>20846.599999999999</v>
      </c>
      <c r="G51" s="18" t="s">
        <v>28</v>
      </c>
      <c r="H51" s="41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>
      <c r="A52" s="18"/>
      <c r="B52" s="42"/>
      <c r="C52" s="39" t="s">
        <v>70</v>
      </c>
      <c r="D52" s="39"/>
      <c r="E52" s="39"/>
      <c r="F52" s="40">
        <v>12000</v>
      </c>
      <c r="G52" s="18" t="s">
        <v>28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>
      <c r="A53" s="18"/>
      <c r="B53" s="34"/>
      <c r="C53" s="39" t="s">
        <v>71</v>
      </c>
      <c r="D53" s="39"/>
      <c r="E53" s="39"/>
      <c r="F53" s="215">
        <v>2000</v>
      </c>
      <c r="G53" s="18" t="s">
        <v>28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>
      <c r="A54" s="18"/>
      <c r="B54" s="42"/>
      <c r="C54" s="39" t="s">
        <v>72</v>
      </c>
      <c r="D54" s="39"/>
      <c r="E54" s="39"/>
      <c r="F54" s="40">
        <f>11411.58*1.1</f>
        <v>12552.738000000001</v>
      </c>
      <c r="G54" s="18" t="s">
        <v>28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>
      <c r="A55" s="18"/>
      <c r="B55" s="34"/>
      <c r="C55" s="39" t="s">
        <v>73</v>
      </c>
      <c r="D55" s="39"/>
      <c r="E55" s="39"/>
      <c r="F55" s="215">
        <v>2000</v>
      </c>
      <c r="G55" s="18" t="s">
        <v>28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>
      <c r="A56" s="18"/>
      <c r="B56" s="42"/>
      <c r="C56" s="39" t="s">
        <v>74</v>
      </c>
      <c r="D56" s="39"/>
      <c r="E56" s="39"/>
      <c r="F56" s="215">
        <v>10000</v>
      </c>
      <c r="G56" s="18" t="s">
        <v>28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>
      <c r="A57" s="18"/>
      <c r="B57" s="34"/>
      <c r="C57" s="44" t="s">
        <v>75</v>
      </c>
      <c r="D57" s="44"/>
      <c r="E57" s="44"/>
      <c r="F57" s="215">
        <v>300</v>
      </c>
      <c r="G57" s="18" t="s">
        <v>28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>
      <c r="A58" s="18"/>
      <c r="B58" s="34"/>
      <c r="C58" s="39" t="s">
        <v>76</v>
      </c>
      <c r="D58" s="39"/>
      <c r="E58" s="39"/>
      <c r="F58" s="215">
        <v>30000</v>
      </c>
      <c r="G58" s="18" t="s">
        <v>28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>
      <c r="A59" s="18"/>
      <c r="B59" s="34"/>
      <c r="C59" s="39" t="s">
        <v>77</v>
      </c>
      <c r="D59" s="39"/>
      <c r="E59" s="39"/>
      <c r="F59" s="40">
        <v>40000</v>
      </c>
      <c r="G59" s="18" t="s">
        <v>28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>
      <c r="A60" s="18"/>
      <c r="B60" s="34"/>
      <c r="C60" s="39" t="s">
        <v>78</v>
      </c>
      <c r="D60" s="39"/>
      <c r="E60" s="39"/>
      <c r="F60" s="215">
        <v>20000</v>
      </c>
      <c r="G60" s="18" t="s">
        <v>28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>
      <c r="A61" s="18"/>
      <c r="B61" s="34"/>
      <c r="C61" s="39" t="s">
        <v>79</v>
      </c>
      <c r="D61" s="39"/>
      <c r="E61" s="39"/>
      <c r="F61" s="215">
        <v>189034.43</v>
      </c>
      <c r="G61" s="18" t="s">
        <v>28</v>
      </c>
      <c r="H61" s="18" t="s">
        <v>80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>
      <c r="A62" s="18"/>
      <c r="B62" s="34"/>
      <c r="C62" s="39" t="s">
        <v>81</v>
      </c>
      <c r="D62" s="39"/>
      <c r="E62" s="39"/>
      <c r="F62" s="215">
        <f>10000*1.5</f>
        <v>15000</v>
      </c>
      <c r="G62" s="18" t="s">
        <v>28</v>
      </c>
      <c r="H62" s="18"/>
      <c r="I62" s="18"/>
      <c r="J62" s="29"/>
      <c r="K62" s="41"/>
      <c r="L62" s="18"/>
      <c r="M62" s="18"/>
      <c r="N62" s="18"/>
      <c r="O62" s="18"/>
      <c r="P62" s="18"/>
      <c r="Q62" s="18"/>
      <c r="R62" s="18"/>
    </row>
    <row r="63" spans="1:18">
      <c r="A63" s="18"/>
      <c r="B63" s="34"/>
      <c r="C63" s="39" t="s">
        <v>82</v>
      </c>
      <c r="D63" s="39"/>
      <c r="E63" s="39"/>
      <c r="F63" s="40">
        <v>0</v>
      </c>
      <c r="G63" s="18" t="s">
        <v>28</v>
      </c>
      <c r="H63" s="18"/>
      <c r="I63" s="18"/>
      <c r="J63" s="29"/>
      <c r="K63" s="41"/>
      <c r="L63" s="18"/>
      <c r="M63" s="18"/>
      <c r="N63" s="18"/>
      <c r="O63" s="18"/>
      <c r="P63" s="18"/>
      <c r="Q63" s="18"/>
      <c r="R63" s="18"/>
    </row>
    <row r="64" spans="1:18">
      <c r="A64" s="18"/>
      <c r="B64" s="34"/>
      <c r="C64" s="39" t="s">
        <v>83</v>
      </c>
      <c r="D64" s="39"/>
      <c r="E64" s="39"/>
      <c r="F64" s="40">
        <v>0</v>
      </c>
      <c r="G64" s="18" t="s">
        <v>28</v>
      </c>
      <c r="H64" s="18"/>
      <c r="I64" s="18"/>
      <c r="J64" s="29"/>
      <c r="K64" s="41"/>
      <c r="L64" s="18"/>
      <c r="M64" s="18"/>
      <c r="N64" s="18"/>
      <c r="O64" s="18"/>
      <c r="P64" s="18"/>
      <c r="Q64" s="18"/>
      <c r="R64" s="18"/>
    </row>
    <row r="65" spans="1:18">
      <c r="A65" s="18"/>
      <c r="B65" s="34"/>
      <c r="C65" s="201" t="s">
        <v>84</v>
      </c>
      <c r="D65" s="201"/>
      <c r="E65" s="201"/>
      <c r="F65" s="202">
        <f>I65</f>
        <v>163134.59120065669</v>
      </c>
      <c r="G65" s="18"/>
      <c r="H65" s="18"/>
      <c r="I65" s="29">
        <f>1.25*('TN 2026'!E102)+B2*(C132+C186)</f>
        <v>163134.59120065669</v>
      </c>
      <c r="J65" s="18"/>
      <c r="K65" s="41"/>
      <c r="L65" s="18"/>
      <c r="M65" s="18"/>
      <c r="N65" s="18"/>
      <c r="O65" s="18"/>
      <c r="P65" s="18"/>
      <c r="Q65" s="18"/>
      <c r="R65" s="18"/>
    </row>
    <row r="66" spans="1:18">
      <c r="A66" s="18"/>
      <c r="B66" s="34"/>
      <c r="C66" s="39"/>
      <c r="D66" s="39"/>
      <c r="E66" s="39"/>
      <c r="F66" s="40"/>
      <c r="G66" s="18"/>
      <c r="H66" s="41"/>
      <c r="I66" s="29"/>
      <c r="J66" s="18"/>
      <c r="K66" s="41"/>
      <c r="L66" s="18"/>
      <c r="M66" s="18"/>
      <c r="N66" s="18"/>
      <c r="O66" s="18"/>
      <c r="P66" s="18"/>
      <c r="Q66" s="18"/>
      <c r="R66" s="18"/>
    </row>
    <row r="67" spans="1:18">
      <c r="A67" s="18"/>
      <c r="B67" s="34"/>
      <c r="C67" s="39" t="s">
        <v>85</v>
      </c>
      <c r="D67" s="39"/>
      <c r="E67" s="39"/>
      <c r="F67" s="40">
        <v>0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>
      <c r="A68" s="18"/>
      <c r="B68" s="34"/>
      <c r="C68" s="44"/>
      <c r="D68" s="44"/>
      <c r="E68" s="44"/>
      <c r="F68" s="40"/>
      <c r="G68" s="18"/>
      <c r="H68" s="211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>
      <c r="A69" s="18"/>
      <c r="B69" s="34"/>
      <c r="C69" s="236" t="s">
        <v>86</v>
      </c>
      <c r="D69" s="236"/>
      <c r="E69" s="236"/>
      <c r="F69" s="236"/>
      <c r="G69" s="45">
        <f>SUM(F12:F69)</f>
        <v>1405340.3592006566</v>
      </c>
      <c r="H69" s="46"/>
      <c r="I69" s="46"/>
      <c r="J69" s="25"/>
      <c r="K69" s="25"/>
      <c r="L69" s="25"/>
      <c r="M69" s="18">
        <v>0</v>
      </c>
      <c r="N69" s="22">
        <f>G69</f>
        <v>1405340.3592006566</v>
      </c>
      <c r="O69" s="18"/>
      <c r="P69" s="18"/>
      <c r="Q69" s="18"/>
      <c r="R69" s="18"/>
    </row>
    <row r="70" spans="1:18" ht="15" thickBot="1">
      <c r="A70" s="18"/>
      <c r="B70" s="34"/>
      <c r="C70" s="47"/>
      <c r="D70" s="47"/>
      <c r="E70" s="47"/>
      <c r="F70" s="29"/>
      <c r="G70" s="4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5.75" customHeight="1" thickBot="1">
      <c r="A71" s="18"/>
      <c r="B71" s="38" t="s">
        <v>87</v>
      </c>
      <c r="C71" s="237" t="s">
        <v>88</v>
      </c>
      <c r="D71" s="49"/>
      <c r="E71" s="49"/>
      <c r="F71" s="41">
        <f>(K6+G69+G76)*0.84</f>
        <v>19527495.656337854</v>
      </c>
      <c r="G71" s="45">
        <f>0.01*F71</f>
        <v>195274.95656337854</v>
      </c>
      <c r="H71" s="34"/>
      <c r="I71" s="18"/>
      <c r="J71" s="18"/>
      <c r="K71" s="18"/>
      <c r="L71" s="18"/>
      <c r="M71" s="18">
        <v>0</v>
      </c>
      <c r="N71" s="22">
        <f>G71-M71</f>
        <v>195274.95656337854</v>
      </c>
      <c r="O71" s="18"/>
      <c r="P71" s="18"/>
      <c r="Q71" s="18"/>
      <c r="R71" s="18"/>
    </row>
    <row r="72" spans="1:18" ht="15" thickBot="1">
      <c r="A72" s="18"/>
      <c r="B72" s="18"/>
      <c r="C72" s="237"/>
      <c r="D72" s="49"/>
      <c r="E72" s="49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15" thickBot="1">
      <c r="A73" s="18"/>
      <c r="B73" s="38" t="s">
        <v>89</v>
      </c>
      <c r="C73" s="25" t="s">
        <v>90</v>
      </c>
      <c r="D73" s="25"/>
      <c r="E73" s="25"/>
      <c r="F73" s="50">
        <v>0</v>
      </c>
      <c r="G73" s="51">
        <v>0</v>
      </c>
      <c r="H73" s="46" t="s">
        <v>91</v>
      </c>
      <c r="I73" s="46"/>
      <c r="J73" s="25"/>
      <c r="K73" s="25"/>
      <c r="L73" s="25"/>
      <c r="M73" s="18"/>
      <c r="N73" s="18"/>
      <c r="O73" s="18"/>
      <c r="P73" s="18"/>
      <c r="Q73" s="18"/>
      <c r="R73" s="18"/>
    </row>
    <row r="74" spans="1:18">
      <c r="A74" s="18"/>
      <c r="B74" s="34"/>
      <c r="C74" s="18"/>
      <c r="D74" s="18"/>
      <c r="E74" s="18"/>
      <c r="F74" s="52"/>
      <c r="G74" s="53"/>
      <c r="H74" s="27"/>
      <c r="I74" s="27"/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15" thickBot="1">
      <c r="A75" s="18"/>
      <c r="B75" s="34"/>
      <c r="C75" s="18"/>
      <c r="D75" s="18"/>
      <c r="E75" s="18"/>
      <c r="F75" s="52"/>
      <c r="G75" s="53"/>
      <c r="H75" s="27"/>
      <c r="I75" s="27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15" thickBot="1">
      <c r="A76" s="18"/>
      <c r="B76" s="38" t="s">
        <v>92</v>
      </c>
      <c r="C76" s="54" t="s">
        <v>93</v>
      </c>
      <c r="D76" s="54"/>
      <c r="E76" s="54"/>
      <c r="F76" s="54">
        <f>K6+G69+K7</f>
        <v>22569921.008249946</v>
      </c>
      <c r="G76" s="55">
        <f>(0.03*F76)</f>
        <v>677097.6302474984</v>
      </c>
      <c r="H76" s="25"/>
      <c r="I76" s="25"/>
      <c r="J76" s="25"/>
      <c r="K76" s="25"/>
      <c r="L76" s="25"/>
      <c r="M76" s="18">
        <v>0</v>
      </c>
      <c r="N76" s="22">
        <f>G76-M76</f>
        <v>677097.6302474984</v>
      </c>
      <c r="O76" s="18"/>
      <c r="P76" s="18"/>
      <c r="Q76" s="18"/>
      <c r="R76" s="18"/>
    </row>
    <row r="77" spans="1:18" ht="20.5" thickBot="1">
      <c r="B77" s="56" t="s">
        <v>94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22">
        <f>SUM(M4:M76)</f>
        <v>83759.660271891596</v>
      </c>
      <c r="N77" s="22">
        <f>SUM(N4:N76)</f>
        <v>23967987.534788936</v>
      </c>
    </row>
    <row r="78" spans="1:18" ht="15" thickBo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15" thickBot="1">
      <c r="A79" s="18"/>
      <c r="F79" s="238"/>
      <c r="G79" s="239"/>
      <c r="H79" s="240"/>
      <c r="I79" s="240"/>
      <c r="J79" s="240"/>
      <c r="M79" s="18"/>
      <c r="N79" s="18"/>
      <c r="O79" s="18"/>
      <c r="P79" s="58"/>
      <c r="Q79" s="18"/>
      <c r="R79" s="18"/>
    </row>
    <row r="80" spans="1:18" ht="15.75" customHeight="1" thickBot="1">
      <c r="A80" s="18"/>
      <c r="B80" s="59" t="s">
        <v>95</v>
      </c>
      <c r="C80" s="60">
        <f>K6+G69+G71+G76+K7</f>
        <v>23442293.595060825</v>
      </c>
      <c r="D80" s="60"/>
      <c r="E80" s="60"/>
      <c r="F80" s="226" t="s">
        <v>96</v>
      </c>
      <c r="G80" s="227"/>
      <c r="H80" s="228">
        <f>C89-K7</f>
        <v>22939411.287860826</v>
      </c>
      <c r="I80" s="228"/>
      <c r="J80" s="228"/>
      <c r="K80" s="18">
        <v>2022</v>
      </c>
      <c r="L80" s="18">
        <v>2023</v>
      </c>
      <c r="M80" s="18"/>
      <c r="N80" s="18"/>
      <c r="O80" s="18"/>
      <c r="P80" s="18"/>
      <c r="Q80" s="18"/>
      <c r="R80" s="18"/>
    </row>
    <row r="81" spans="1:18" ht="26.5" thickBot="1">
      <c r="A81" s="18"/>
      <c r="B81" s="59" t="s">
        <v>97</v>
      </c>
      <c r="C81" s="48">
        <f>SUM(C82:C88)</f>
        <v>502882.30719999992</v>
      </c>
      <c r="D81" s="48"/>
      <c r="E81" s="48"/>
      <c r="F81" s="18"/>
      <c r="G81" s="61" t="s">
        <v>98</v>
      </c>
      <c r="H81" s="229">
        <f>H80/'TN 2026'!E102</f>
        <v>181.88236054043168</v>
      </c>
      <c r="I81" s="229"/>
      <c r="J81" s="229"/>
      <c r="K81" s="18">
        <v>122.96</v>
      </c>
      <c r="L81" s="18">
        <v>130</v>
      </c>
      <c r="M81" s="22">
        <v>0</v>
      </c>
      <c r="N81" s="22">
        <f>C81</f>
        <v>502882.30719999992</v>
      </c>
      <c r="O81" s="18"/>
      <c r="P81" s="18"/>
      <c r="Q81" s="18"/>
      <c r="R81" s="18"/>
    </row>
    <row r="82" spans="1:18">
      <c r="A82" s="18"/>
      <c r="B82" s="62" t="s">
        <v>99</v>
      </c>
      <c r="C82" s="2">
        <f>1500*4</f>
        <v>6000</v>
      </c>
      <c r="D82" s="2"/>
      <c r="E82" s="2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>
      <c r="A83" s="18"/>
      <c r="B83" s="62"/>
      <c r="C83" s="2"/>
      <c r="D83" s="2"/>
      <c r="E83" s="2"/>
      <c r="F83" s="18"/>
      <c r="G83" s="18"/>
      <c r="H83" s="18"/>
      <c r="I83" s="18"/>
      <c r="J83" s="18"/>
      <c r="K83" s="18"/>
      <c r="L83" s="18"/>
      <c r="M83" s="22">
        <f>M77-M81</f>
        <v>83759.660271891596</v>
      </c>
      <c r="N83" s="22">
        <f>N77-N81</f>
        <v>23465105.227588937</v>
      </c>
      <c r="O83" s="18"/>
      <c r="P83" s="18"/>
      <c r="Q83" s="18"/>
      <c r="R83" s="18"/>
    </row>
    <row r="84" spans="1:18">
      <c r="A84" s="18"/>
      <c r="B84" s="62"/>
      <c r="C84" s="2"/>
      <c r="D84" s="2"/>
      <c r="E84" s="2"/>
      <c r="F84" s="18"/>
      <c r="G84" s="18"/>
      <c r="H84" s="18"/>
      <c r="I84" s="18"/>
      <c r="J84" s="18"/>
      <c r="K84" s="18"/>
      <c r="L84" s="18"/>
      <c r="M84" s="63">
        <f>M83/'TN 2026'!F97</f>
        <v>90.0766395152949</v>
      </c>
      <c r="N84" s="64">
        <f>N83/'TN 2026'!G97</f>
        <v>187.43238784579538</v>
      </c>
      <c r="O84" s="18"/>
      <c r="P84" s="18"/>
      <c r="Q84" s="18"/>
      <c r="R84" s="18"/>
    </row>
    <row r="85" spans="1:18">
      <c r="A85" s="18"/>
      <c r="B85" s="62"/>
      <c r="C85" s="2"/>
      <c r="D85" s="2"/>
      <c r="E85" s="2"/>
      <c r="F85" s="18"/>
      <c r="G85" s="18"/>
      <c r="H85" s="18"/>
      <c r="I85" s="18"/>
      <c r="J85" s="18"/>
      <c r="K85" s="18"/>
      <c r="L85" s="18"/>
      <c r="M85" s="19">
        <v>93.001836060486553</v>
      </c>
      <c r="N85" s="19">
        <v>130.46102915066993</v>
      </c>
      <c r="O85" s="18"/>
      <c r="P85" s="18"/>
      <c r="Q85" s="18"/>
      <c r="R85" s="18"/>
    </row>
    <row r="86" spans="1:18">
      <c r="A86" s="18"/>
      <c r="B86" s="62"/>
      <c r="C86" s="2"/>
      <c r="D86" s="2"/>
      <c r="E86" s="2"/>
      <c r="F86" s="18"/>
      <c r="G86" s="18"/>
      <c r="H86" s="18"/>
      <c r="I86" s="18"/>
      <c r="J86" s="18"/>
      <c r="K86" s="18"/>
      <c r="L86" s="18"/>
      <c r="M86" s="65">
        <v>88.31</v>
      </c>
      <c r="N86" s="65">
        <v>123.43</v>
      </c>
      <c r="O86" s="18"/>
      <c r="P86" s="18"/>
      <c r="Q86" s="18"/>
      <c r="R86" s="18"/>
    </row>
    <row r="87" spans="1:18">
      <c r="A87" s="18"/>
      <c r="B87" s="62" t="s">
        <v>100</v>
      </c>
      <c r="C87" s="2">
        <f>K48*0.15</f>
        <v>186330.86519999997</v>
      </c>
      <c r="D87" s="2"/>
      <c r="E87" s="2"/>
      <c r="F87" s="18"/>
      <c r="G87" s="18"/>
      <c r="H87" s="18"/>
      <c r="I87" s="18"/>
      <c r="J87" s="18"/>
      <c r="K87" s="66"/>
      <c r="L87" s="18"/>
      <c r="M87" s="67" t="s">
        <v>101</v>
      </c>
      <c r="N87" s="67" t="s">
        <v>102</v>
      </c>
      <c r="O87" s="18"/>
      <c r="P87" s="18"/>
      <c r="Q87" s="18"/>
      <c r="R87" s="18"/>
    </row>
    <row r="88" spans="1:18">
      <c r="A88" s="18"/>
      <c r="B88" s="62" t="s">
        <v>103</v>
      </c>
      <c r="C88" s="2">
        <f>K48*0.25</f>
        <v>310551.44199999998</v>
      </c>
      <c r="D88" s="2"/>
      <c r="E88" s="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>
      <c r="A89" s="18"/>
      <c r="B89" s="210" t="s">
        <v>104</v>
      </c>
      <c r="C89" s="60">
        <f>C80-C81</f>
        <v>22939411.287860826</v>
      </c>
      <c r="D89" s="60"/>
      <c r="E89" s="60"/>
      <c r="F89" s="1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>
      <c r="A90" s="18"/>
      <c r="B90" s="29"/>
      <c r="C90" s="2"/>
      <c r="D90" s="2"/>
      <c r="E90" s="2"/>
      <c r="F90" s="18"/>
      <c r="G90" s="18"/>
      <c r="H90" s="18"/>
      <c r="I90" s="18"/>
      <c r="J90" s="18"/>
      <c r="K90" s="18"/>
      <c r="L90" s="18"/>
      <c r="M90" s="68"/>
      <c r="N90" s="69"/>
      <c r="O90" s="18"/>
      <c r="P90" s="18"/>
      <c r="Q90" s="18"/>
      <c r="R90" s="18"/>
    </row>
    <row r="91" spans="1:18">
      <c r="A91" s="18"/>
      <c r="B91" s="29"/>
      <c r="C91" s="2"/>
      <c r="D91" s="2"/>
      <c r="E91" s="2"/>
      <c r="F91" s="18"/>
      <c r="G91" s="18"/>
      <c r="H91" s="18"/>
      <c r="I91" s="18"/>
      <c r="J91" s="18"/>
      <c r="K91" s="18"/>
      <c r="L91" s="18"/>
      <c r="M91" s="68" t="s">
        <v>105</v>
      </c>
      <c r="N91" s="70">
        <f>+'COSTES 26'!G24*1.04</f>
        <v>2469519.3258460234</v>
      </c>
      <c r="O91" s="208">
        <f>+N91+N93</f>
        <v>2475955.5359266414</v>
      </c>
      <c r="P91" s="18"/>
      <c r="Q91" s="18"/>
      <c r="R91" s="18"/>
    </row>
    <row r="92" spans="1:18">
      <c r="M92" s="68"/>
      <c r="N92" s="69"/>
    </row>
    <row r="93" spans="1:18" ht="15.5">
      <c r="B93" s="71" t="s">
        <v>106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68" t="s">
        <v>107</v>
      </c>
      <c r="N93" s="70">
        <f>+'COSTES 26'!G48*1.04</f>
        <v>6436.2100806181788</v>
      </c>
      <c r="O93" s="18"/>
    </row>
    <row r="94" spans="1:18" ht="20.5">
      <c r="B94" s="73"/>
      <c r="C94" s="73"/>
      <c r="D94" s="73"/>
      <c r="E94" s="73"/>
      <c r="F94" s="73"/>
      <c r="G94" s="73"/>
      <c r="H94" s="18"/>
      <c r="I94" s="18"/>
      <c r="J94" s="18"/>
      <c r="K94" s="18"/>
      <c r="L94" s="18"/>
    </row>
    <row r="95" spans="1:18" ht="20.5">
      <c r="B95" s="74"/>
      <c r="C95" s="73"/>
      <c r="D95" s="73"/>
      <c r="E95" s="73"/>
      <c r="F95" s="73"/>
      <c r="G95" s="73"/>
      <c r="H95" s="18"/>
      <c r="I95" s="75"/>
      <c r="J95" s="74"/>
      <c r="K95" s="18"/>
      <c r="L95" s="18"/>
      <c r="N95" s="141">
        <f>+N91+N93</f>
        <v>2475955.5359266414</v>
      </c>
    </row>
    <row r="96" spans="1:18" ht="18">
      <c r="B96" s="74" t="s">
        <v>108</v>
      </c>
      <c r="C96" s="18"/>
      <c r="D96" s="18"/>
      <c r="E96" s="18"/>
      <c r="F96" s="18"/>
      <c r="G96" s="18"/>
      <c r="H96" s="18"/>
      <c r="I96" s="18"/>
      <c r="J96" s="18"/>
      <c r="K96" s="208"/>
      <c r="L96" s="18"/>
    </row>
    <row r="97" spans="1:18" ht="18">
      <c r="B97" s="74" t="s">
        <v>109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1:18" ht="18">
      <c r="B98" s="74" t="s">
        <v>110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8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1" spans="1:18" ht="18" hidden="1" thickBot="1">
      <c r="A101" s="18"/>
      <c r="B101" s="76" t="s">
        <v>111</v>
      </c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18"/>
      <c r="N101" s="18"/>
      <c r="O101" s="18"/>
      <c r="P101" s="18"/>
      <c r="Q101" s="18"/>
      <c r="R101" s="18"/>
    </row>
    <row r="102" spans="1:18" hidden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ht="15" hidden="1" customHeight="1">
      <c r="A103" s="18"/>
      <c r="B103" s="230" t="s">
        <v>112</v>
      </c>
      <c r="C103" s="231" t="s">
        <v>113</v>
      </c>
      <c r="D103" s="78"/>
      <c r="E103" s="78"/>
      <c r="F103" s="232"/>
      <c r="G103" s="18"/>
      <c r="H103" s="223" t="s">
        <v>114</v>
      </c>
      <c r="I103" s="223"/>
      <c r="J103" s="223"/>
      <c r="K103" s="223"/>
      <c r="L103" s="18"/>
      <c r="M103" s="18"/>
      <c r="N103" s="18"/>
      <c r="O103" s="18"/>
      <c r="P103" s="18"/>
      <c r="Q103" s="18"/>
      <c r="R103" s="18"/>
    </row>
    <row r="104" spans="1:18" hidden="1">
      <c r="A104" s="18"/>
      <c r="B104" s="230"/>
      <c r="C104" s="231"/>
      <c r="D104" s="78"/>
      <c r="E104" s="78"/>
      <c r="F104" s="232"/>
      <c r="G104" s="18"/>
      <c r="H104" s="223"/>
      <c r="I104" s="223"/>
      <c r="J104" s="223"/>
      <c r="K104" s="223"/>
      <c r="L104" s="18"/>
      <c r="M104" s="18"/>
      <c r="N104" s="18"/>
      <c r="O104" s="18"/>
      <c r="P104" s="18"/>
      <c r="Q104" s="18"/>
      <c r="R104" s="18"/>
    </row>
    <row r="105" spans="1:18" hidden="1">
      <c r="A105" s="18"/>
      <c r="B105" s="170" t="s">
        <v>116</v>
      </c>
      <c r="C105" s="79">
        <f>+'TN 2026'!F4+'TN 2026'!G4</f>
        <v>528.7122428428969</v>
      </c>
      <c r="D105" s="80"/>
      <c r="E105" s="80"/>
      <c r="F105" s="81"/>
      <c r="G105" s="18"/>
      <c r="H105" s="18"/>
      <c r="I105" s="18"/>
      <c r="K105">
        <f>+(C105/$H$109)*$H$111</f>
        <v>0</v>
      </c>
      <c r="L105" s="18"/>
      <c r="M105" s="18"/>
      <c r="N105" s="18"/>
      <c r="O105" s="18"/>
      <c r="P105" s="18"/>
      <c r="Q105" s="18"/>
      <c r="R105" s="18"/>
    </row>
    <row r="106" spans="1:18" hidden="1">
      <c r="A106" s="18"/>
      <c r="B106" s="170" t="s">
        <v>117</v>
      </c>
      <c r="C106" s="79">
        <f>+'TN 2026'!F5+'TN 2026'!G5</f>
        <v>775.93992754859164</v>
      </c>
      <c r="D106" s="80"/>
      <c r="E106" s="80"/>
      <c r="F106" s="81"/>
      <c r="G106" s="18"/>
      <c r="H106" s="18"/>
      <c r="I106" s="18"/>
      <c r="J106" s="18"/>
      <c r="K106">
        <f t="shared" ref="K106:K149" si="0">+(C106/$H$109)*$H$111</f>
        <v>0</v>
      </c>
      <c r="L106" s="18"/>
      <c r="M106" s="18"/>
      <c r="N106" s="18"/>
      <c r="O106" s="18"/>
      <c r="P106" s="18"/>
      <c r="Q106" s="18"/>
      <c r="R106" s="18"/>
    </row>
    <row r="107" spans="1:18" ht="15" hidden="1" thickBot="1">
      <c r="A107" s="18"/>
      <c r="B107" s="170" t="s">
        <v>118</v>
      </c>
      <c r="C107" s="79">
        <f>+'TN 2026'!F6+'TN 2026'!G6</f>
        <v>1448.6734871724141</v>
      </c>
      <c r="D107" s="80"/>
      <c r="E107" s="80"/>
      <c r="F107" s="81"/>
      <c r="G107" s="18"/>
      <c r="H107" s="18"/>
      <c r="I107" s="18"/>
      <c r="J107" s="18"/>
      <c r="K107">
        <f t="shared" si="0"/>
        <v>0</v>
      </c>
      <c r="L107" s="18"/>
      <c r="M107" s="18"/>
      <c r="N107" s="18"/>
      <c r="O107" s="18"/>
      <c r="P107" s="18"/>
      <c r="Q107" s="18"/>
      <c r="R107" s="18"/>
    </row>
    <row r="108" spans="1:18" hidden="1">
      <c r="A108" s="18"/>
      <c r="B108" s="170" t="s">
        <v>120</v>
      </c>
      <c r="C108" s="79">
        <f>+'TN 2026'!F7+'TN 2026'!G7</f>
        <v>47.882134234027006</v>
      </c>
      <c r="D108" s="80"/>
      <c r="E108" s="80"/>
      <c r="F108" s="81"/>
      <c r="G108" s="18"/>
      <c r="H108" s="82" t="s">
        <v>119</v>
      </c>
      <c r="I108" s="83"/>
      <c r="J108" s="84"/>
      <c r="K108">
        <f t="shared" si="0"/>
        <v>0</v>
      </c>
      <c r="L108" s="18"/>
      <c r="M108" s="18"/>
      <c r="N108" s="18"/>
      <c r="O108" s="18"/>
      <c r="P108" s="18"/>
      <c r="Q108" s="18"/>
      <c r="R108" s="18"/>
    </row>
    <row r="109" spans="1:18" hidden="1">
      <c r="A109" s="18"/>
      <c r="B109" s="170" t="s">
        <v>121</v>
      </c>
      <c r="C109" s="79">
        <f>+'TN 2026'!F8+'TN 2026'!G8</f>
        <v>1968.2779441289774</v>
      </c>
      <c r="D109" s="80"/>
      <c r="E109" s="80"/>
      <c r="F109" s="81"/>
      <c r="G109" s="18"/>
      <c r="H109" s="85">
        <v>1.0000000000000001E-5</v>
      </c>
      <c r="I109" s="41"/>
      <c r="J109" s="86"/>
      <c r="K109">
        <f t="shared" si="0"/>
        <v>0</v>
      </c>
      <c r="L109" s="18"/>
      <c r="M109" s="18"/>
      <c r="N109" s="18"/>
      <c r="O109" s="18"/>
      <c r="P109" s="18"/>
      <c r="Q109" s="18"/>
      <c r="R109" s="18"/>
    </row>
    <row r="110" spans="1:18" hidden="1">
      <c r="A110" s="18"/>
      <c r="B110" s="170" t="s">
        <v>124</v>
      </c>
      <c r="C110" s="79">
        <f>+'TN 2026'!F9+'TN 2026'!G9</f>
        <v>399.96564668641935</v>
      </c>
      <c r="D110" s="80"/>
      <c r="E110" s="80"/>
      <c r="F110" s="81"/>
      <c r="G110" s="18"/>
      <c r="H110" s="87" t="s">
        <v>122</v>
      </c>
      <c r="I110" s="88"/>
      <c r="J110" s="89"/>
      <c r="K110">
        <f t="shared" si="0"/>
        <v>0</v>
      </c>
      <c r="L110" s="18"/>
      <c r="M110" s="18"/>
      <c r="N110" s="18"/>
      <c r="O110" s="18"/>
      <c r="P110" s="18"/>
      <c r="Q110" s="18"/>
      <c r="R110" s="18"/>
    </row>
    <row r="111" spans="1:18" ht="15" hidden="1" thickBot="1">
      <c r="A111" s="18"/>
      <c r="B111" s="170" t="s">
        <v>337</v>
      </c>
      <c r="C111" s="79">
        <f>+'TN 2026'!F10+'TN 2026'!G10</f>
        <v>147.54996229794665</v>
      </c>
      <c r="D111" s="80"/>
      <c r="E111" s="80"/>
      <c r="F111" s="81"/>
      <c r="G111" s="18"/>
      <c r="H111" s="90">
        <v>0</v>
      </c>
      <c r="I111" s="91"/>
      <c r="J111" s="92" t="s">
        <v>123</v>
      </c>
      <c r="K111">
        <f t="shared" si="0"/>
        <v>0</v>
      </c>
      <c r="L111" s="18"/>
      <c r="M111" s="18"/>
      <c r="N111" s="18"/>
      <c r="O111" s="18"/>
      <c r="P111" s="18"/>
      <c r="Q111" s="18"/>
      <c r="R111" s="18"/>
    </row>
    <row r="112" spans="1:18" hidden="1">
      <c r="A112" s="18"/>
      <c r="B112" s="170" t="s">
        <v>125</v>
      </c>
      <c r="C112" s="79">
        <f>+'TN 2026'!F11+'TN 2026'!G11</f>
        <v>78.229281344874764</v>
      </c>
      <c r="D112" s="80"/>
      <c r="E112" s="80"/>
      <c r="F112" s="81"/>
      <c r="G112" s="18"/>
      <c r="H112" s="18"/>
      <c r="I112" s="18"/>
      <c r="J112" s="18"/>
      <c r="K112">
        <f t="shared" si="0"/>
        <v>0</v>
      </c>
      <c r="L112" s="18"/>
      <c r="M112" s="18"/>
      <c r="N112" s="18"/>
      <c r="O112" s="18"/>
      <c r="P112" s="18"/>
      <c r="Q112" s="18"/>
      <c r="R112" s="18"/>
    </row>
    <row r="113" spans="1:18" hidden="1">
      <c r="A113" s="18"/>
      <c r="B113" s="170" t="s">
        <v>126</v>
      </c>
      <c r="C113" s="79">
        <f>+'TN 2026'!F12+'TN 2026'!G12</f>
        <v>739.43412545902618</v>
      </c>
      <c r="D113" s="80"/>
      <c r="E113" s="80"/>
      <c r="F113" s="81"/>
      <c r="G113" s="18"/>
      <c r="H113" s="18"/>
      <c r="I113" s="18"/>
      <c r="J113" s="18"/>
      <c r="K113">
        <f t="shared" si="0"/>
        <v>0</v>
      </c>
      <c r="L113" s="18"/>
      <c r="M113" s="18"/>
      <c r="N113" s="18"/>
      <c r="O113" s="18"/>
      <c r="P113" s="18"/>
      <c r="Q113" s="18"/>
      <c r="R113" s="18"/>
    </row>
    <row r="114" spans="1:18" hidden="1">
      <c r="A114" s="18"/>
      <c r="B114" s="170" t="s">
        <v>115</v>
      </c>
      <c r="C114" s="79">
        <f>+'TN 2026'!F13+'TN 2026'!G13</f>
        <v>976.33429965796552</v>
      </c>
      <c r="D114" s="80"/>
      <c r="E114" s="80"/>
      <c r="F114" s="81"/>
      <c r="G114" s="18"/>
      <c r="H114" s="18"/>
      <c r="I114" s="18"/>
      <c r="J114" s="18"/>
      <c r="K114">
        <f t="shared" si="0"/>
        <v>0</v>
      </c>
      <c r="L114" s="18"/>
      <c r="M114" s="18"/>
      <c r="N114" s="18"/>
      <c r="O114" s="18"/>
      <c r="P114" s="18"/>
      <c r="Q114" s="18"/>
      <c r="R114" s="18"/>
    </row>
    <row r="115" spans="1:18" hidden="1">
      <c r="A115" s="18"/>
      <c r="B115" s="170" t="s">
        <v>127</v>
      </c>
      <c r="C115" s="79">
        <f>+'TN 2026'!F14+'TN 2026'!G14</f>
        <v>319.99089091722186</v>
      </c>
      <c r="D115" s="80"/>
      <c r="E115" s="80"/>
      <c r="F115" s="81"/>
      <c r="G115" s="18"/>
      <c r="H115" s="18"/>
      <c r="I115" s="18"/>
      <c r="J115" s="18"/>
      <c r="K115">
        <f t="shared" si="0"/>
        <v>0</v>
      </c>
      <c r="L115" s="18"/>
      <c r="M115" s="18"/>
      <c r="N115" s="18"/>
      <c r="O115" s="18"/>
      <c r="P115" s="18"/>
      <c r="Q115" s="18"/>
      <c r="R115" s="18"/>
    </row>
    <row r="116" spans="1:18" hidden="1">
      <c r="A116" s="18"/>
      <c r="B116" s="188" t="s">
        <v>128</v>
      </c>
      <c r="C116" s="79">
        <f>+'TN 2026'!F15+'TN 2026'!G15</f>
        <v>1647.2991095876941</v>
      </c>
      <c r="D116" s="80"/>
      <c r="E116" s="80"/>
      <c r="F116" s="81"/>
      <c r="G116" s="18"/>
      <c r="H116" s="18"/>
      <c r="I116" s="18"/>
      <c r="J116" s="18"/>
      <c r="K116">
        <f t="shared" si="0"/>
        <v>0</v>
      </c>
      <c r="L116" s="18"/>
      <c r="M116" s="18"/>
      <c r="N116" s="18"/>
      <c r="O116" s="18"/>
      <c r="P116" s="18"/>
      <c r="Q116" s="18"/>
      <c r="R116" s="18"/>
    </row>
    <row r="117" spans="1:18" hidden="1">
      <c r="A117" s="18"/>
      <c r="B117" s="170" t="s">
        <v>131</v>
      </c>
      <c r="C117" s="79">
        <f>+'TN 2026'!F16+'TN 2026'!G16</f>
        <v>456.75043582833712</v>
      </c>
      <c r="D117" s="80"/>
      <c r="E117" s="80"/>
      <c r="F117" s="81"/>
      <c r="G117" s="18"/>
      <c r="H117" s="18"/>
      <c r="I117" s="18"/>
      <c r="J117" s="18"/>
      <c r="K117">
        <f t="shared" si="0"/>
        <v>0</v>
      </c>
      <c r="L117" s="18"/>
      <c r="M117" s="18"/>
      <c r="N117" s="18"/>
      <c r="O117" s="18"/>
      <c r="P117" s="18"/>
      <c r="Q117" s="18"/>
      <c r="R117" s="18"/>
    </row>
    <row r="118" spans="1:18" hidden="1">
      <c r="A118" s="18"/>
      <c r="B118" s="170" t="s">
        <v>132</v>
      </c>
      <c r="C118" s="79">
        <f>+'TN 2026'!F17+'TN 2026'!G17</f>
        <v>178.42424022347709</v>
      </c>
      <c r="D118" s="80"/>
      <c r="E118" s="80"/>
      <c r="F118" s="81"/>
      <c r="G118" s="18"/>
      <c r="H118" s="18"/>
      <c r="I118" s="18"/>
      <c r="J118" s="18"/>
      <c r="K118">
        <f t="shared" si="0"/>
        <v>0</v>
      </c>
      <c r="L118" s="18"/>
      <c r="M118" s="18"/>
      <c r="N118" s="18"/>
      <c r="O118" s="18"/>
      <c r="P118" s="18"/>
      <c r="Q118" s="18"/>
      <c r="R118" s="18"/>
    </row>
    <row r="119" spans="1:18" hidden="1">
      <c r="A119" s="18"/>
      <c r="B119" s="170" t="s">
        <v>133</v>
      </c>
      <c r="C119" s="79">
        <f>+'TN 2026'!F18+'TN 2026'!G18</f>
        <v>1929.9600005977468</v>
      </c>
      <c r="D119" s="80"/>
      <c r="E119" s="80"/>
      <c r="F119" s="81"/>
      <c r="G119" s="18"/>
      <c r="H119" s="18"/>
      <c r="I119" s="18"/>
      <c r="J119" s="18"/>
      <c r="K119">
        <f t="shared" si="0"/>
        <v>0</v>
      </c>
      <c r="L119" s="18"/>
      <c r="M119" s="18"/>
      <c r="N119" s="18"/>
      <c r="O119" s="18"/>
      <c r="P119" s="18"/>
      <c r="Q119" s="18"/>
      <c r="R119" s="18"/>
    </row>
    <row r="120" spans="1:18" hidden="1">
      <c r="B120" s="170" t="s">
        <v>134</v>
      </c>
      <c r="C120" s="79">
        <f>+'TN 2026'!F19+'TN 2026'!G19</f>
        <v>16.695411666622451</v>
      </c>
      <c r="D120" s="80"/>
      <c r="E120" s="80"/>
      <c r="F120" s="81"/>
      <c r="H120" s="18"/>
      <c r="I120" s="18"/>
      <c r="J120" s="18"/>
      <c r="K120">
        <f t="shared" si="0"/>
        <v>0</v>
      </c>
      <c r="L120" s="18"/>
    </row>
    <row r="121" spans="1:18" hidden="1">
      <c r="B121" s="170" t="s">
        <v>129</v>
      </c>
      <c r="C121" s="79">
        <f>+'TN 2026'!F20+'TN 2026'!G20</f>
        <v>580.68246061831178</v>
      </c>
      <c r="D121" s="80"/>
      <c r="E121" s="80"/>
      <c r="F121" s="81"/>
      <c r="H121" s="18"/>
      <c r="I121" s="18"/>
      <c r="J121" s="18"/>
      <c r="K121">
        <f t="shared" si="0"/>
        <v>0</v>
      </c>
      <c r="L121" s="18"/>
    </row>
    <row r="122" spans="1:18" hidden="1">
      <c r="B122" s="170" t="s">
        <v>135</v>
      </c>
      <c r="C122" s="79">
        <f>+'TN 2026'!F21+'TN 2026'!G21</f>
        <v>57.799401762534821</v>
      </c>
      <c r="D122" s="80"/>
      <c r="E122" s="80"/>
      <c r="F122" s="81"/>
      <c r="H122" s="18"/>
      <c r="I122" s="18"/>
      <c r="J122" s="18"/>
      <c r="K122">
        <f t="shared" si="0"/>
        <v>0</v>
      </c>
      <c r="L122" s="18"/>
    </row>
    <row r="123" spans="1:18" hidden="1">
      <c r="B123" s="170" t="s">
        <v>136</v>
      </c>
      <c r="C123" s="79">
        <f>+'TN 2026'!F22+'TN 2026'!G22</f>
        <v>172.20261528743447</v>
      </c>
      <c r="D123" s="80"/>
      <c r="E123" s="80"/>
      <c r="F123" s="81"/>
      <c r="H123" s="18"/>
      <c r="I123" s="18"/>
      <c r="J123" s="18"/>
      <c r="K123">
        <f t="shared" si="0"/>
        <v>0</v>
      </c>
      <c r="L123" s="18"/>
    </row>
    <row r="124" spans="1:18" hidden="1">
      <c r="B124" s="170" t="s">
        <v>130</v>
      </c>
      <c r="C124" s="79">
        <f>+'TN 2026'!F23+'TN 2026'!G23</f>
        <v>152.21733835743336</v>
      </c>
      <c r="D124" s="80"/>
      <c r="E124" s="80"/>
      <c r="F124" s="81"/>
      <c r="H124" s="18"/>
      <c r="I124" s="18"/>
      <c r="J124" s="18"/>
      <c r="K124">
        <f t="shared" si="0"/>
        <v>0</v>
      </c>
      <c r="L124" s="18"/>
    </row>
    <row r="125" spans="1:18" hidden="1">
      <c r="B125" s="170" t="s">
        <v>338</v>
      </c>
      <c r="C125" s="79">
        <f>+'TN 2026'!F24+'TN 2026'!G24</f>
        <v>1730.2334547414002</v>
      </c>
      <c r="D125" s="80"/>
      <c r="E125" s="80"/>
      <c r="F125" s="81"/>
      <c r="H125" s="18"/>
      <c r="I125" s="18"/>
      <c r="J125" s="18"/>
      <c r="K125">
        <f t="shared" si="0"/>
        <v>0</v>
      </c>
      <c r="L125" s="18"/>
    </row>
    <row r="126" spans="1:18" hidden="1">
      <c r="B126" s="170" t="s">
        <v>137</v>
      </c>
      <c r="C126" s="79">
        <f>+'TN 2026'!F25+'TN 2026'!G25</f>
        <v>442.16285634850232</v>
      </c>
      <c r="D126" s="80"/>
      <c r="E126" s="80"/>
      <c r="F126" s="81"/>
      <c r="H126" s="18"/>
      <c r="I126" s="18"/>
      <c r="J126" s="18"/>
      <c r="K126">
        <f t="shared" si="0"/>
        <v>0</v>
      </c>
      <c r="L126" s="18"/>
    </row>
    <row r="127" spans="1:18" hidden="1">
      <c r="B127" s="170" t="s">
        <v>138</v>
      </c>
      <c r="C127" s="79">
        <f>+'TN 2026'!F26+'TN 2026'!G26</f>
        <v>149.86387418981695</v>
      </c>
      <c r="D127" s="80"/>
      <c r="E127" s="80"/>
      <c r="F127" s="81"/>
      <c r="H127" s="18"/>
      <c r="I127" s="18"/>
      <c r="J127" s="18"/>
      <c r="K127">
        <f t="shared" si="0"/>
        <v>0</v>
      </c>
      <c r="L127" s="18"/>
    </row>
    <row r="128" spans="1:18" hidden="1">
      <c r="B128" s="170" t="s">
        <v>339</v>
      </c>
      <c r="C128" s="79">
        <f>+'TN 2026'!F27+'TN 2026'!G27</f>
        <v>56.88770365361723</v>
      </c>
      <c r="D128" s="80"/>
      <c r="E128" s="80"/>
      <c r="F128" s="81"/>
      <c r="H128" s="18"/>
      <c r="I128" s="18"/>
      <c r="J128" s="18"/>
      <c r="K128">
        <f t="shared" si="0"/>
        <v>0</v>
      </c>
      <c r="L128" s="18"/>
    </row>
    <row r="129" spans="2:12" hidden="1">
      <c r="B129" s="170" t="s">
        <v>139</v>
      </c>
      <c r="C129" s="79">
        <f>+'TN 2026'!F28+'TN 2026'!G28</f>
        <v>273.86874825669577</v>
      </c>
      <c r="D129" s="80"/>
      <c r="E129" s="80"/>
      <c r="F129" s="81"/>
      <c r="H129" s="18"/>
      <c r="I129" s="18"/>
      <c r="J129" s="18"/>
      <c r="K129">
        <f t="shared" si="0"/>
        <v>0</v>
      </c>
      <c r="L129" s="18"/>
    </row>
    <row r="130" spans="2:12" hidden="1">
      <c r="B130" s="170" t="s">
        <v>140</v>
      </c>
      <c r="C130" s="79">
        <f>+'TN 2026'!F29+'TN 2026'!G29</f>
        <v>1151.2412244779282</v>
      </c>
      <c r="D130" s="80"/>
      <c r="E130" s="80"/>
      <c r="F130" s="81"/>
      <c r="H130" s="18"/>
      <c r="I130" s="18"/>
      <c r="J130" s="18"/>
      <c r="K130">
        <f t="shared" si="0"/>
        <v>0</v>
      </c>
      <c r="L130" s="18"/>
    </row>
    <row r="131" spans="2:12" hidden="1">
      <c r="B131" s="170" t="s">
        <v>141</v>
      </c>
      <c r="C131" s="79">
        <f>+'TN 2026'!F30+'TN 2026'!G30</f>
        <v>414.99827007650646</v>
      </c>
      <c r="D131" s="80"/>
      <c r="E131" s="80"/>
      <c r="F131" s="81"/>
      <c r="H131" s="18"/>
      <c r="I131" s="18"/>
      <c r="J131" s="18"/>
      <c r="K131">
        <f t="shared" si="0"/>
        <v>0</v>
      </c>
      <c r="L131" s="18"/>
    </row>
    <row r="132" spans="2:12" hidden="1">
      <c r="B132" s="170" t="s">
        <v>142</v>
      </c>
      <c r="C132" s="79">
        <f>+'TN 2026'!F31+'TN 2026'!G31</f>
        <v>44.997668316314545</v>
      </c>
      <c r="D132" s="80"/>
      <c r="E132" s="80"/>
      <c r="F132" s="81"/>
      <c r="H132" s="18"/>
      <c r="I132" s="18"/>
      <c r="J132" s="18"/>
      <c r="K132">
        <f t="shared" si="0"/>
        <v>0</v>
      </c>
      <c r="L132" s="18"/>
    </row>
    <row r="133" spans="2:12" hidden="1">
      <c r="B133" s="170" t="s">
        <v>143</v>
      </c>
      <c r="C133" s="79">
        <f>+'TN 2026'!F32+'TN 2026'!G32</f>
        <v>4187.5900935108484</v>
      </c>
      <c r="D133" s="80"/>
      <c r="E133" s="80"/>
      <c r="F133" s="81"/>
      <c r="H133" s="18"/>
      <c r="I133" s="18"/>
      <c r="J133" s="18"/>
      <c r="K133">
        <f t="shared" si="0"/>
        <v>0</v>
      </c>
      <c r="L133" s="18"/>
    </row>
    <row r="134" spans="2:12" hidden="1">
      <c r="B134" s="170" t="s">
        <v>144</v>
      </c>
      <c r="C134" s="79">
        <f>+'TN 2026'!F33+'TN 2026'!G33</f>
        <v>27.643192147299263</v>
      </c>
      <c r="D134" s="80"/>
      <c r="E134" s="80"/>
      <c r="F134" s="81"/>
      <c r="H134" s="18"/>
      <c r="I134" s="18"/>
      <c r="J134" s="18"/>
      <c r="K134">
        <f t="shared" si="0"/>
        <v>0</v>
      </c>
      <c r="L134" s="18"/>
    </row>
    <row r="135" spans="2:12" hidden="1">
      <c r="B135" s="170" t="s">
        <v>145</v>
      </c>
      <c r="C135" s="79">
        <f>+'TN 2026'!F34+'TN 2026'!G34</f>
        <v>667.75385995043689</v>
      </c>
      <c r="D135" s="80"/>
      <c r="E135" s="80"/>
      <c r="F135" s="81"/>
      <c r="H135" s="18"/>
      <c r="I135" s="18"/>
      <c r="J135" s="18"/>
      <c r="K135">
        <f t="shared" si="0"/>
        <v>0</v>
      </c>
      <c r="L135" s="18"/>
    </row>
    <row r="136" spans="2:12" hidden="1">
      <c r="B136" s="170" t="s">
        <v>146</v>
      </c>
      <c r="C136" s="79">
        <f>+'TN 2026'!F35+'TN 2026'!G35</f>
        <v>31.068490204670105</v>
      </c>
      <c r="D136" s="80"/>
      <c r="E136" s="80"/>
      <c r="F136" s="81"/>
      <c r="H136" s="18"/>
      <c r="I136" s="18"/>
      <c r="J136" s="18"/>
      <c r="K136">
        <f t="shared" si="0"/>
        <v>0</v>
      </c>
      <c r="L136" s="18"/>
    </row>
    <row r="137" spans="2:12" hidden="1">
      <c r="B137" s="170" t="s">
        <v>340</v>
      </c>
      <c r="C137" s="79">
        <f>+'TN 2026'!F36+'TN 2026'!G36</f>
        <v>82.254771051977784</v>
      </c>
      <c r="D137" s="80"/>
      <c r="E137" s="80"/>
      <c r="F137" s="81"/>
      <c r="H137" s="18"/>
      <c r="I137" s="18"/>
      <c r="J137" s="18"/>
      <c r="K137">
        <f t="shared" si="0"/>
        <v>0</v>
      </c>
      <c r="L137" s="18"/>
    </row>
    <row r="138" spans="2:12" hidden="1">
      <c r="B138" s="170" t="s">
        <v>147</v>
      </c>
      <c r="C138" s="79">
        <f>+'TN 2026'!F37+'TN 2026'!G37</f>
        <v>906.48330230519196</v>
      </c>
      <c r="D138" s="80"/>
      <c r="E138" s="80"/>
      <c r="F138" s="81"/>
      <c r="H138" s="18"/>
      <c r="I138" s="18"/>
      <c r="J138" s="18"/>
      <c r="K138">
        <f t="shared" si="0"/>
        <v>0</v>
      </c>
      <c r="L138" s="18"/>
    </row>
    <row r="139" spans="2:12" hidden="1">
      <c r="B139" s="188" t="s">
        <v>148</v>
      </c>
      <c r="C139" s="79">
        <f>+'TN 2026'!F38+'TN 2026'!G38</f>
        <v>120.33632143310646</v>
      </c>
      <c r="D139" s="80"/>
      <c r="E139" s="80"/>
      <c r="F139" s="81"/>
      <c r="H139" s="18"/>
      <c r="I139" s="18"/>
      <c r="J139" s="18"/>
      <c r="K139">
        <f t="shared" si="0"/>
        <v>0</v>
      </c>
      <c r="L139" s="18"/>
    </row>
    <row r="140" spans="2:12" hidden="1">
      <c r="B140" s="170" t="s">
        <v>149</v>
      </c>
      <c r="C140" s="79">
        <f>+'TN 2026'!F39+'TN 2026'!G39</f>
        <v>2196.5077594732152</v>
      </c>
      <c r="D140" s="80"/>
      <c r="E140" s="80"/>
      <c r="F140" s="81"/>
      <c r="H140" s="18"/>
      <c r="I140" s="18"/>
      <c r="J140" s="18"/>
      <c r="K140">
        <f t="shared" si="0"/>
        <v>0</v>
      </c>
      <c r="L140" s="18"/>
    </row>
    <row r="141" spans="2:12" hidden="1">
      <c r="B141" s="170" t="s">
        <v>341</v>
      </c>
      <c r="C141" s="79">
        <f>+'TN 2026'!F40+'TN 2026'!G40</f>
        <v>901.50531900796909</v>
      </c>
      <c r="D141" s="80"/>
      <c r="E141" s="80"/>
      <c r="F141" s="81"/>
      <c r="H141" s="18"/>
      <c r="I141" s="18"/>
      <c r="J141" s="18"/>
      <c r="K141">
        <f>+(C141/$H$109)*$H$111</f>
        <v>0</v>
      </c>
      <c r="L141" s="18"/>
    </row>
    <row r="142" spans="2:12" hidden="1">
      <c r="B142" s="170" t="s">
        <v>150</v>
      </c>
      <c r="C142" s="79">
        <f>+'TN 2026'!F41+'TN 2026'!G41</f>
        <v>163.2607709425258</v>
      </c>
      <c r="D142" s="80"/>
      <c r="E142" s="80"/>
      <c r="F142" s="81"/>
      <c r="H142" s="18"/>
      <c r="I142" s="18"/>
      <c r="J142" s="18"/>
      <c r="K142">
        <f t="shared" si="0"/>
        <v>0</v>
      </c>
      <c r="L142" s="18"/>
    </row>
    <row r="143" spans="2:12" hidden="1">
      <c r="B143" s="170" t="s">
        <v>342</v>
      </c>
      <c r="C143" s="79">
        <f>+'TN 2026'!F42+'TN 2026'!G42</f>
        <v>965.53805613207294</v>
      </c>
      <c r="D143" s="80"/>
      <c r="E143" s="80"/>
      <c r="F143" s="81"/>
      <c r="H143" s="18"/>
      <c r="I143" s="18"/>
      <c r="J143" s="18"/>
      <c r="K143">
        <f t="shared" si="0"/>
        <v>0</v>
      </c>
      <c r="L143" s="18"/>
    </row>
    <row r="144" spans="2:12" hidden="1">
      <c r="B144" s="170" t="s">
        <v>151</v>
      </c>
      <c r="C144" s="79">
        <f>+'TN 2026'!F43+'TN 2026'!G43</f>
        <v>1688.3488101907644</v>
      </c>
      <c r="D144" s="80"/>
      <c r="E144" s="80"/>
      <c r="F144" s="81"/>
      <c r="H144" s="18"/>
      <c r="I144" s="18"/>
      <c r="J144" s="18"/>
      <c r="K144">
        <f t="shared" si="0"/>
        <v>0</v>
      </c>
      <c r="L144" s="18"/>
    </row>
    <row r="145" spans="1:18" hidden="1">
      <c r="B145" s="170" t="s">
        <v>152</v>
      </c>
      <c r="C145" s="79">
        <f>+'TN 2026'!F44+'TN 2026'!G44</f>
        <v>50.603695295542586</v>
      </c>
      <c r="D145" s="80"/>
      <c r="E145" s="80"/>
      <c r="F145" s="81"/>
      <c r="H145" s="18"/>
      <c r="I145" s="18"/>
      <c r="J145" s="18"/>
      <c r="K145">
        <f t="shared" si="0"/>
        <v>0</v>
      </c>
      <c r="L145" s="18"/>
    </row>
    <row r="146" spans="1:18" hidden="1">
      <c r="B146" s="170" t="s">
        <v>153</v>
      </c>
      <c r="C146" s="79">
        <f>+'TN 2026'!F45+'TN 2026'!G45</f>
        <v>275.49024845421252</v>
      </c>
      <c r="D146" s="80"/>
      <c r="E146" s="80"/>
      <c r="F146" s="81"/>
      <c r="H146" s="18"/>
      <c r="I146" s="18"/>
      <c r="J146" s="18"/>
      <c r="K146">
        <f t="shared" si="0"/>
        <v>0</v>
      </c>
      <c r="L146" s="18"/>
    </row>
    <row r="147" spans="1:18" hidden="1">
      <c r="B147" s="170" t="s">
        <v>154</v>
      </c>
      <c r="C147" s="79">
        <f>+'TN 2026'!F46+'TN 2026'!G46</f>
        <v>33109.330826089754</v>
      </c>
      <c r="D147" s="80"/>
      <c r="E147" s="80"/>
      <c r="F147" s="81"/>
      <c r="H147" s="18"/>
      <c r="I147" s="18"/>
      <c r="J147" s="18"/>
      <c r="K147">
        <f t="shared" si="0"/>
        <v>0</v>
      </c>
      <c r="L147" s="18"/>
    </row>
    <row r="148" spans="1:18" hidden="1">
      <c r="B148" s="170" t="s">
        <v>343</v>
      </c>
      <c r="C148" s="79">
        <f>+'TN 2026'!F47+'TN 2026'!G47</f>
        <v>143.73222997589454</v>
      </c>
      <c r="D148" s="80"/>
      <c r="E148" s="80"/>
      <c r="F148" s="81"/>
      <c r="H148" s="18"/>
      <c r="I148" s="18"/>
      <c r="J148" s="18"/>
      <c r="K148">
        <f t="shared" si="0"/>
        <v>0</v>
      </c>
      <c r="L148" s="18"/>
    </row>
    <row r="149" spans="1:18" hidden="1">
      <c r="B149" s="170" t="s">
        <v>344</v>
      </c>
      <c r="C149" s="79">
        <f>+'TN 2026'!F48+'TN 2026'!G48</f>
        <v>263.3820603307729</v>
      </c>
      <c r="D149" s="80"/>
      <c r="E149" s="80"/>
      <c r="F149" s="81"/>
      <c r="H149" s="18"/>
      <c r="I149" s="18"/>
      <c r="J149" s="18"/>
      <c r="K149">
        <f t="shared" si="0"/>
        <v>0</v>
      </c>
      <c r="L149" s="18"/>
    </row>
    <row r="150" spans="1:18" ht="15" hidden="1" customHeight="1">
      <c r="A150" s="18"/>
      <c r="C150" s="221" t="str">
        <f>C103</f>
        <v xml:space="preserve"> PRODUCCIÓN  ESTIMADA  RSU 2025 (TM/año)  TOTALES (RUM + FORS)</v>
      </c>
      <c r="D150" s="93"/>
      <c r="E150" s="93"/>
      <c r="F150" s="222"/>
      <c r="G150" s="18"/>
      <c r="H150" s="223" t="str">
        <f>H103</f>
        <v>COEFICIENTE B: NO SE PREVÉN SERVICIOS DIFERENCIADOS</v>
      </c>
      <c r="I150" s="223"/>
      <c r="J150" s="223"/>
      <c r="K150" s="223"/>
      <c r="L150" s="18"/>
      <c r="M150" s="18"/>
      <c r="N150" s="18"/>
      <c r="O150" s="18"/>
      <c r="P150" s="18"/>
      <c r="Q150" s="18"/>
      <c r="R150" s="18"/>
    </row>
    <row r="151" spans="1:18" hidden="1">
      <c r="A151" s="18"/>
      <c r="C151" s="221"/>
      <c r="D151" s="93"/>
      <c r="E151" s="93"/>
      <c r="F151" s="222"/>
      <c r="G151" s="18"/>
      <c r="H151" s="223"/>
      <c r="I151" s="223"/>
      <c r="J151" s="223"/>
      <c r="K151" s="223"/>
      <c r="L151" s="18"/>
      <c r="M151" s="18"/>
      <c r="N151" s="18"/>
      <c r="O151" s="18"/>
      <c r="P151" s="18"/>
      <c r="Q151" s="18"/>
      <c r="R151" s="18"/>
    </row>
    <row r="152" spans="1:18" hidden="1">
      <c r="B152" s="188" t="s">
        <v>155</v>
      </c>
      <c r="C152" s="79">
        <f>+'TN 2026'!F51+'TN 2026'!G51</f>
        <v>781.1249185696206</v>
      </c>
      <c r="D152" s="80"/>
      <c r="E152" s="80"/>
      <c r="F152" s="81"/>
      <c r="H152" s="18"/>
      <c r="I152" s="18"/>
      <c r="J152" s="18"/>
      <c r="K152">
        <f t="shared" ref="K152:K199" si="1">+(C152/$H$109)*$H$111</f>
        <v>0</v>
      </c>
      <c r="L152" s="18"/>
    </row>
    <row r="153" spans="1:18" hidden="1">
      <c r="B153" s="188" t="s">
        <v>156</v>
      </c>
      <c r="C153" s="79">
        <f>+'TN 2026'!F52+'TN 2026'!G52</f>
        <v>1088.858248799467</v>
      </c>
      <c r="D153" s="80"/>
      <c r="E153" s="80"/>
      <c r="F153" s="81"/>
      <c r="H153" s="18"/>
      <c r="I153" s="18"/>
      <c r="J153" s="18"/>
      <c r="K153">
        <f t="shared" si="1"/>
        <v>0</v>
      </c>
      <c r="L153" s="18"/>
    </row>
    <row r="154" spans="1:18" hidden="1">
      <c r="B154" s="170" t="s">
        <v>157</v>
      </c>
      <c r="C154" s="79">
        <f>+'TN 2026'!F53+'TN 2026'!G53</f>
        <v>99.946785079060206</v>
      </c>
      <c r="D154" s="80"/>
      <c r="E154" s="80"/>
      <c r="F154" s="81"/>
      <c r="H154" s="18"/>
      <c r="I154" s="18"/>
      <c r="J154" s="18"/>
      <c r="K154">
        <f t="shared" si="1"/>
        <v>0</v>
      </c>
      <c r="L154" s="18"/>
    </row>
    <row r="155" spans="1:18" hidden="1">
      <c r="B155" s="170" t="s">
        <v>345</v>
      </c>
      <c r="C155" s="79">
        <f>+'TN 2026'!F54+'TN 2026'!G54</f>
        <v>1195.1902072572989</v>
      </c>
      <c r="D155" s="80"/>
      <c r="E155" s="80"/>
      <c r="F155" s="81"/>
      <c r="H155" s="18"/>
      <c r="I155" s="18"/>
      <c r="J155" s="18"/>
      <c r="K155">
        <f t="shared" si="1"/>
        <v>0</v>
      </c>
      <c r="L155" s="18"/>
    </row>
    <row r="156" spans="1:18" hidden="1">
      <c r="B156" s="170" t="s">
        <v>158</v>
      </c>
      <c r="C156" s="79">
        <f>+'TN 2026'!F55+'TN 2026'!G55</f>
        <v>740.44793000213485</v>
      </c>
      <c r="D156" s="80"/>
      <c r="E156" s="80"/>
      <c r="F156" s="81"/>
      <c r="H156" s="18"/>
      <c r="I156" s="18"/>
      <c r="J156" s="18"/>
      <c r="K156">
        <f t="shared" si="1"/>
        <v>0</v>
      </c>
      <c r="L156" s="18"/>
    </row>
    <row r="157" spans="1:18" hidden="1">
      <c r="B157" s="170" t="s">
        <v>159</v>
      </c>
      <c r="C157" s="79">
        <f>+'TN 2026'!F56+'TN 2026'!G56</f>
        <v>1792.3028462519731</v>
      </c>
      <c r="D157" s="80"/>
      <c r="E157" s="80"/>
      <c r="F157" s="81"/>
      <c r="H157" s="18"/>
      <c r="I157" s="18"/>
      <c r="J157" s="18"/>
      <c r="K157">
        <f t="shared" si="1"/>
        <v>0</v>
      </c>
      <c r="L157" s="18"/>
    </row>
    <row r="158" spans="1:18" hidden="1">
      <c r="B158" s="170" t="s">
        <v>160</v>
      </c>
      <c r="C158" s="79">
        <f>+'TN 2026'!F57+'TN 2026'!G57</f>
        <v>653.02678954035537</v>
      </c>
      <c r="D158" s="80"/>
      <c r="E158" s="80"/>
      <c r="F158" s="81"/>
      <c r="H158" s="18"/>
      <c r="I158" s="18"/>
      <c r="J158" s="18"/>
      <c r="K158">
        <f t="shared" si="1"/>
        <v>0</v>
      </c>
      <c r="L158" s="18"/>
    </row>
    <row r="159" spans="1:18" hidden="1">
      <c r="B159" s="170" t="s">
        <v>161</v>
      </c>
      <c r="C159" s="79">
        <f>+'TN 2026'!F58+'TN 2026'!G58</f>
        <v>412.97733245196554</v>
      </c>
      <c r="D159" s="80"/>
      <c r="E159" s="80"/>
      <c r="F159" s="81"/>
      <c r="H159" s="18"/>
      <c r="I159" s="18"/>
      <c r="J159" s="18"/>
      <c r="K159">
        <f t="shared" si="1"/>
        <v>0</v>
      </c>
      <c r="L159" s="18"/>
    </row>
    <row r="160" spans="1:18" hidden="1">
      <c r="A160" s="18"/>
      <c r="B160" s="170" t="s">
        <v>346</v>
      </c>
      <c r="C160" s="79">
        <f>+'TN 2026'!F59+'TN 2026'!G59</f>
        <v>173.68726823107215</v>
      </c>
      <c r="D160" s="80"/>
      <c r="E160" s="80"/>
      <c r="F160" s="81"/>
      <c r="G160" s="18"/>
      <c r="H160" s="18"/>
      <c r="I160" s="18"/>
      <c r="J160" s="18"/>
      <c r="K160">
        <f t="shared" si="1"/>
        <v>0</v>
      </c>
      <c r="L160" s="18"/>
      <c r="M160" s="18"/>
      <c r="N160" s="18"/>
      <c r="O160" s="18"/>
      <c r="P160" s="18"/>
      <c r="Q160" s="18"/>
      <c r="R160" s="18"/>
    </row>
    <row r="161" spans="1:18" hidden="1">
      <c r="A161" s="18"/>
      <c r="B161" s="170" t="s">
        <v>162</v>
      </c>
      <c r="C161" s="79">
        <f>+'TN 2026'!F60+'TN 2026'!G60</f>
        <v>255.634216072025</v>
      </c>
      <c r="D161" s="80"/>
      <c r="E161" s="80"/>
      <c r="F161" s="81"/>
      <c r="G161" s="18"/>
      <c r="H161" s="18"/>
      <c r="I161" s="18"/>
      <c r="J161" s="18"/>
      <c r="K161">
        <f t="shared" si="1"/>
        <v>0</v>
      </c>
      <c r="L161" s="18"/>
      <c r="M161" s="18"/>
      <c r="N161" s="18"/>
      <c r="O161" s="18"/>
      <c r="P161" s="18"/>
      <c r="Q161" s="18"/>
      <c r="R161" s="18"/>
    </row>
    <row r="162" spans="1:18" hidden="1">
      <c r="B162" s="170" t="s">
        <v>163</v>
      </c>
      <c r="C162" s="79">
        <f>+'TN 2026'!F61+'TN 2026'!G61</f>
        <v>668.6191997257506</v>
      </c>
      <c r="D162" s="80"/>
      <c r="E162" s="80"/>
      <c r="F162" s="81"/>
      <c r="H162" s="18"/>
      <c r="I162" s="18"/>
      <c r="J162" s="18"/>
      <c r="K162">
        <f t="shared" si="1"/>
        <v>0</v>
      </c>
      <c r="L162" s="18"/>
    </row>
    <row r="163" spans="1:18" hidden="1">
      <c r="B163" s="170" t="s">
        <v>347</v>
      </c>
      <c r="C163" s="79">
        <f>+'TN 2026'!F62+'TN 2026'!G62</f>
        <v>2686.7363913668914</v>
      </c>
      <c r="D163" s="80"/>
      <c r="E163" s="80"/>
      <c r="F163" s="81"/>
      <c r="H163" s="18"/>
      <c r="I163" s="18"/>
      <c r="J163" s="18"/>
      <c r="K163">
        <f t="shared" si="1"/>
        <v>0</v>
      </c>
      <c r="L163" s="18"/>
    </row>
    <row r="164" spans="1:18" hidden="1">
      <c r="A164" s="18"/>
      <c r="B164" s="170" t="s">
        <v>164</v>
      </c>
      <c r="C164" s="79">
        <f>+'TN 2026'!F63+'TN 2026'!G63</f>
        <v>1678.368138052025</v>
      </c>
      <c r="D164" s="80"/>
      <c r="E164" s="80"/>
      <c r="F164" s="81"/>
      <c r="G164" s="18"/>
      <c r="H164" s="18"/>
      <c r="I164" s="18"/>
      <c r="J164" s="18"/>
      <c r="K164">
        <f t="shared" si="1"/>
        <v>0</v>
      </c>
      <c r="L164" s="18"/>
      <c r="M164" s="18"/>
      <c r="N164" s="18"/>
      <c r="O164" s="18"/>
      <c r="P164" s="18"/>
      <c r="Q164" s="18"/>
      <c r="R164" s="18"/>
    </row>
    <row r="165" spans="1:18" hidden="1">
      <c r="A165" s="18"/>
      <c r="B165" s="170" t="s">
        <v>165</v>
      </c>
      <c r="C165" s="79">
        <f>+'TN 2026'!F64+'TN 2026'!G64</f>
        <v>1663.9640735867404</v>
      </c>
      <c r="D165" s="80"/>
      <c r="E165" s="80"/>
      <c r="F165" s="81"/>
      <c r="G165" s="18"/>
      <c r="H165" s="18"/>
      <c r="I165" s="18"/>
      <c r="J165" s="18"/>
      <c r="K165">
        <f t="shared" si="1"/>
        <v>0</v>
      </c>
      <c r="L165" s="18"/>
      <c r="M165" s="18"/>
      <c r="N165" s="18"/>
      <c r="O165" s="18"/>
      <c r="P165" s="18"/>
      <c r="Q165" s="18"/>
      <c r="R165" s="18"/>
    </row>
    <row r="166" spans="1:18" hidden="1">
      <c r="B166" s="170" t="s">
        <v>166</v>
      </c>
      <c r="C166" s="79">
        <f>+'TN 2026'!F65+'TN 2026'!G65</f>
        <v>535.56397737283237</v>
      </c>
      <c r="D166" s="80"/>
      <c r="E166" s="80"/>
      <c r="F166" s="81"/>
      <c r="H166" s="18"/>
      <c r="I166" s="18"/>
      <c r="J166" s="18"/>
      <c r="K166">
        <f t="shared" si="1"/>
        <v>0</v>
      </c>
      <c r="L166" s="18"/>
    </row>
    <row r="167" spans="1:18" hidden="1">
      <c r="B167" s="170" t="s">
        <v>167</v>
      </c>
      <c r="C167" s="79">
        <f>+'TN 2026'!F66+'TN 2026'!G66</f>
        <v>426.39118385531503</v>
      </c>
      <c r="D167" s="80"/>
      <c r="E167" s="80"/>
      <c r="F167" s="81"/>
      <c r="H167" s="18"/>
      <c r="I167" s="18"/>
      <c r="J167" s="18"/>
      <c r="K167">
        <f t="shared" si="1"/>
        <v>0</v>
      </c>
      <c r="L167" s="18"/>
    </row>
    <row r="168" spans="1:18" hidden="1">
      <c r="B168" s="170" t="s">
        <v>168</v>
      </c>
      <c r="C168" s="79">
        <f>+'TN 2026'!F67+'TN 2026'!G67</f>
        <v>164.70300390138206</v>
      </c>
      <c r="D168" s="80"/>
      <c r="E168" s="80"/>
      <c r="F168" s="81"/>
      <c r="H168" s="18"/>
      <c r="I168" s="18"/>
      <c r="J168" s="18"/>
      <c r="K168">
        <f t="shared" si="1"/>
        <v>0</v>
      </c>
      <c r="L168" s="18"/>
    </row>
    <row r="169" spans="1:18" hidden="1">
      <c r="B169" s="170" t="s">
        <v>169</v>
      </c>
      <c r="C169" s="79">
        <f>+'TN 2026'!F68+'TN 2026'!G68</f>
        <v>1056.789166515164</v>
      </c>
      <c r="D169" s="80"/>
      <c r="E169" s="80"/>
      <c r="F169" s="81"/>
      <c r="H169" s="18"/>
      <c r="I169" s="18"/>
      <c r="J169" s="18"/>
      <c r="K169">
        <f t="shared" si="1"/>
        <v>0</v>
      </c>
      <c r="L169" s="18"/>
    </row>
    <row r="170" spans="1:18" hidden="1">
      <c r="B170" s="170" t="s">
        <v>348</v>
      </c>
      <c r="C170" s="79">
        <f>+'TN 2026'!F69+'TN 2026'!G69</f>
        <v>322.12606127426022</v>
      </c>
      <c r="D170" s="80"/>
      <c r="E170" s="80"/>
      <c r="F170" s="81"/>
      <c r="H170" s="18"/>
      <c r="I170" s="18"/>
      <c r="J170" s="18"/>
      <c r="K170">
        <f t="shared" si="1"/>
        <v>0</v>
      </c>
      <c r="L170" s="18"/>
    </row>
    <row r="171" spans="1:18" hidden="1">
      <c r="B171" s="170" t="s">
        <v>170</v>
      </c>
      <c r="C171" s="79">
        <f>+'TN 2026'!F70+'TN 2026'!G70</f>
        <v>11998.687444334493</v>
      </c>
      <c r="D171" s="80"/>
      <c r="E171" s="80"/>
      <c r="F171" s="81"/>
      <c r="H171" s="18"/>
      <c r="I171" s="18"/>
      <c r="J171" s="18"/>
      <c r="K171">
        <f t="shared" si="1"/>
        <v>0</v>
      </c>
      <c r="L171" s="18"/>
    </row>
    <row r="172" spans="1:18" hidden="1">
      <c r="B172" s="170" t="s">
        <v>171</v>
      </c>
      <c r="C172" s="79">
        <f>+'TN 2026'!F71+'TN 2026'!G71</f>
        <v>11238.48015306561</v>
      </c>
      <c r="D172" s="80"/>
      <c r="E172" s="80"/>
      <c r="F172" s="81"/>
      <c r="H172" s="18"/>
      <c r="I172" s="18"/>
      <c r="J172" s="18"/>
      <c r="K172">
        <f t="shared" si="1"/>
        <v>0</v>
      </c>
      <c r="L172" s="18"/>
    </row>
    <row r="173" spans="1:18" hidden="1">
      <c r="B173" s="170" t="s">
        <v>172</v>
      </c>
      <c r="C173" s="79">
        <f>+'TN 2026'!F72+'TN 2026'!G72</f>
        <v>119.50794180852613</v>
      </c>
      <c r="D173" s="80"/>
      <c r="E173" s="80"/>
      <c r="F173" s="81"/>
      <c r="H173" s="18"/>
      <c r="I173" s="18"/>
      <c r="J173" s="18"/>
      <c r="K173">
        <f t="shared" si="1"/>
        <v>0</v>
      </c>
      <c r="L173" s="18"/>
    </row>
    <row r="174" spans="1:18" hidden="1">
      <c r="B174" s="170" t="s">
        <v>173</v>
      </c>
      <c r="C174" s="79">
        <f>+'TN 2026'!F73+'TN 2026'!G73</f>
        <v>856.01706224924828</v>
      </c>
      <c r="D174" s="80"/>
      <c r="E174" s="80"/>
      <c r="F174" s="81"/>
      <c r="H174" s="18"/>
      <c r="I174" s="18"/>
      <c r="J174" s="18"/>
      <c r="K174">
        <f t="shared" si="1"/>
        <v>0</v>
      </c>
      <c r="L174" s="18"/>
    </row>
    <row r="175" spans="1:18" hidden="1">
      <c r="B175" s="170" t="s">
        <v>174</v>
      </c>
      <c r="C175" s="79">
        <f>+'TN 2026'!F74+'TN 2026'!G74</f>
        <v>355.79610630860935</v>
      </c>
      <c r="D175" s="80"/>
      <c r="E175" s="80"/>
      <c r="F175" s="81"/>
      <c r="H175" s="18"/>
      <c r="I175" s="18"/>
      <c r="J175" s="18"/>
      <c r="K175">
        <f t="shared" si="1"/>
        <v>0</v>
      </c>
      <c r="L175" s="18"/>
    </row>
    <row r="176" spans="1:18" hidden="1">
      <c r="B176" s="170" t="s">
        <v>175</v>
      </c>
      <c r="C176" s="79">
        <f>+'TN 2026'!F75+'TN 2026'!G75</f>
        <v>1278.7189897236296</v>
      </c>
      <c r="D176" s="80"/>
      <c r="E176" s="80"/>
      <c r="F176" s="81"/>
      <c r="H176" s="18"/>
      <c r="I176" s="18"/>
      <c r="J176" s="18"/>
      <c r="K176">
        <f t="shared" si="1"/>
        <v>0</v>
      </c>
      <c r="L176" s="18"/>
    </row>
    <row r="177" spans="2:12" hidden="1">
      <c r="B177" s="170" t="s">
        <v>176</v>
      </c>
      <c r="C177" s="79">
        <f>+'TN 2026'!F76+'TN 2026'!G76</f>
        <v>44.709221724543291</v>
      </c>
      <c r="D177" s="80"/>
      <c r="E177" s="80"/>
      <c r="F177" s="81"/>
      <c r="H177" s="18"/>
      <c r="I177" s="18"/>
      <c r="J177" s="18"/>
      <c r="K177">
        <f t="shared" si="1"/>
        <v>0</v>
      </c>
      <c r="L177" s="18"/>
    </row>
    <row r="178" spans="2:12" hidden="1">
      <c r="B178" s="170" t="s">
        <v>177</v>
      </c>
      <c r="C178" s="79">
        <f>+'TN 2026'!F77+'TN 2026'!G77</f>
        <v>314.47968171245765</v>
      </c>
      <c r="D178" s="80"/>
      <c r="E178" s="80"/>
      <c r="F178" s="81"/>
      <c r="H178" s="18"/>
      <c r="I178" s="18"/>
      <c r="J178" s="18"/>
      <c r="K178">
        <f t="shared" si="1"/>
        <v>0</v>
      </c>
      <c r="L178" s="18"/>
    </row>
    <row r="179" spans="2:12" hidden="1">
      <c r="B179" s="170" t="s">
        <v>178</v>
      </c>
      <c r="C179" s="79">
        <f>+'TN 2026'!F78+'TN 2026'!G78</f>
        <v>648.45930281756216</v>
      </c>
      <c r="D179" s="80"/>
      <c r="E179" s="80"/>
      <c r="F179" s="81"/>
      <c r="H179" s="18"/>
      <c r="I179" s="18"/>
      <c r="J179" s="18"/>
      <c r="K179">
        <f t="shared" si="1"/>
        <v>0</v>
      </c>
      <c r="L179" s="18"/>
    </row>
    <row r="180" spans="2:12" hidden="1">
      <c r="B180" s="170" t="s">
        <v>349</v>
      </c>
      <c r="C180" s="79">
        <f>+'TN 2026'!F79+'TN 2026'!G79</f>
        <v>322.38577031256159</v>
      </c>
      <c r="D180" s="80"/>
      <c r="E180" s="80"/>
      <c r="F180" s="81"/>
      <c r="H180" s="18"/>
      <c r="I180" s="18"/>
      <c r="J180" s="18"/>
      <c r="K180">
        <f t="shared" si="1"/>
        <v>0</v>
      </c>
      <c r="L180" s="18"/>
    </row>
    <row r="181" spans="2:12" hidden="1">
      <c r="B181" s="170" t="s">
        <v>179</v>
      </c>
      <c r="C181" s="79">
        <f>+'TN 2026'!F80+'TN 2026'!G80</f>
        <v>444.23273616618769</v>
      </c>
      <c r="D181" s="80"/>
      <c r="E181" s="80"/>
      <c r="F181" s="81"/>
      <c r="H181" s="18"/>
      <c r="I181" s="18"/>
      <c r="J181" s="18"/>
      <c r="K181">
        <f t="shared" si="1"/>
        <v>0</v>
      </c>
      <c r="L181" s="18"/>
    </row>
    <row r="182" spans="2:12" hidden="1">
      <c r="B182" s="170" t="s">
        <v>180</v>
      </c>
      <c r="C182" s="79">
        <f>+'TN 2026'!F81+'TN 2026'!G81</f>
        <v>127.78184015466245</v>
      </c>
      <c r="D182" s="80"/>
      <c r="E182" s="80"/>
      <c r="F182" s="81"/>
      <c r="H182" s="18"/>
      <c r="I182" s="18"/>
      <c r="J182" s="18"/>
      <c r="K182">
        <f t="shared" si="1"/>
        <v>0</v>
      </c>
      <c r="L182" s="18"/>
    </row>
    <row r="183" spans="2:12" hidden="1">
      <c r="B183" s="170" t="s">
        <v>181</v>
      </c>
      <c r="C183" s="79">
        <f>+'TN 2026'!F82+'TN 2026'!G82</f>
        <v>422.88517354274404</v>
      </c>
      <c r="D183" s="80"/>
      <c r="E183" s="80"/>
      <c r="F183" s="81"/>
      <c r="H183" s="18"/>
      <c r="I183" s="18"/>
      <c r="J183" s="18"/>
      <c r="K183">
        <f t="shared" si="1"/>
        <v>0</v>
      </c>
      <c r="L183" s="18"/>
    </row>
    <row r="184" spans="2:12" hidden="1">
      <c r="B184" s="170" t="s">
        <v>182</v>
      </c>
      <c r="C184" s="79">
        <f>+'TN 2026'!F83+'TN 2026'!G83</f>
        <v>463.24722037374869</v>
      </c>
      <c r="D184" s="80"/>
      <c r="E184" s="80"/>
      <c r="F184" s="81"/>
      <c r="H184" s="18"/>
      <c r="I184" s="18"/>
      <c r="J184" s="18"/>
      <c r="K184">
        <f t="shared" si="1"/>
        <v>0</v>
      </c>
      <c r="L184" s="18"/>
    </row>
    <row r="185" spans="2:12" hidden="1">
      <c r="B185" s="170" t="s">
        <v>183</v>
      </c>
      <c r="C185" s="79">
        <f>+'TN 2026'!F84+'TN 2026'!G84</f>
        <v>50.478153559968234</v>
      </c>
      <c r="D185" s="80"/>
      <c r="E185" s="80"/>
      <c r="F185" s="81"/>
      <c r="H185" s="18"/>
      <c r="I185" s="18"/>
      <c r="J185" s="18"/>
      <c r="K185">
        <f t="shared" si="1"/>
        <v>0</v>
      </c>
      <c r="L185" s="18"/>
    </row>
    <row r="186" spans="2:12" hidden="1">
      <c r="B186" s="170" t="s">
        <v>350</v>
      </c>
      <c r="C186" s="79">
        <f>+'TN 2026'!F85+'TN 2026'!G85</f>
        <v>118.55154921798254</v>
      </c>
      <c r="D186" s="80"/>
      <c r="E186" s="80"/>
      <c r="F186" s="81"/>
      <c r="H186" s="18"/>
      <c r="I186" s="18"/>
      <c r="J186" s="18"/>
      <c r="K186">
        <f t="shared" si="1"/>
        <v>0</v>
      </c>
      <c r="L186" s="18"/>
    </row>
    <row r="187" spans="2:12" hidden="1">
      <c r="B187" s="170" t="s">
        <v>184</v>
      </c>
      <c r="C187" s="79">
        <f>+'TN 2026'!F86+'TN 2026'!G86</f>
        <v>7.8674483776279134</v>
      </c>
      <c r="D187" s="80"/>
      <c r="E187" s="80"/>
      <c r="F187" s="81"/>
      <c r="H187" s="18"/>
      <c r="I187" s="18"/>
      <c r="J187" s="18"/>
      <c r="K187">
        <f t="shared" si="1"/>
        <v>0</v>
      </c>
      <c r="L187" s="18"/>
    </row>
    <row r="188" spans="2:12" hidden="1">
      <c r="B188" s="170" t="s">
        <v>185</v>
      </c>
      <c r="C188" s="79">
        <f>+'TN 2026'!F87+'TN 2026'!G87</f>
        <v>273.77735247046024</v>
      </c>
      <c r="D188" s="80"/>
      <c r="E188" s="80"/>
      <c r="F188" s="81"/>
      <c r="H188" s="18"/>
      <c r="I188" s="18"/>
      <c r="J188" s="18"/>
      <c r="K188">
        <f t="shared" si="1"/>
        <v>0</v>
      </c>
      <c r="L188" s="18"/>
    </row>
    <row r="189" spans="2:12" hidden="1">
      <c r="B189" s="170" t="s">
        <v>186</v>
      </c>
      <c r="C189" s="79">
        <f>+'TN 2026'!F88+'TN 2026'!G88</f>
        <v>82.784171838347888</v>
      </c>
      <c r="D189" s="80"/>
      <c r="E189" s="80"/>
      <c r="F189" s="81"/>
      <c r="H189" s="18"/>
      <c r="I189" s="18"/>
      <c r="J189" s="18"/>
      <c r="K189">
        <f t="shared" si="1"/>
        <v>0</v>
      </c>
      <c r="L189" s="18"/>
    </row>
    <row r="190" spans="2:12" hidden="1">
      <c r="B190" s="188" t="s">
        <v>187</v>
      </c>
      <c r="C190" s="79">
        <f>+'TN 2026'!F89+'TN 2026'!G89</f>
        <v>39.636169214736547</v>
      </c>
      <c r="D190" s="80"/>
      <c r="E190" s="80"/>
      <c r="F190" s="81"/>
      <c r="H190" s="18"/>
      <c r="I190" s="18"/>
      <c r="J190" s="18"/>
      <c r="K190">
        <f t="shared" si="1"/>
        <v>0</v>
      </c>
      <c r="L190" s="18"/>
    </row>
    <row r="191" spans="2:12" hidden="1">
      <c r="B191" s="170" t="s">
        <v>188</v>
      </c>
      <c r="C191" s="79">
        <f>+'TN 2026'!F90+'TN 2026'!G90</f>
        <v>1014.7438494925436</v>
      </c>
      <c r="D191" s="80"/>
      <c r="E191" s="80"/>
      <c r="F191" s="81"/>
      <c r="H191" s="18"/>
      <c r="I191" s="18"/>
      <c r="J191" s="18"/>
      <c r="K191">
        <f t="shared" si="1"/>
        <v>0</v>
      </c>
      <c r="L191" s="18"/>
    </row>
    <row r="192" spans="2:12" hidden="1">
      <c r="B192" s="170" t="s">
        <v>189</v>
      </c>
      <c r="C192" s="79">
        <f>+'TN 2026'!F91+'TN 2026'!G91</f>
        <v>43.183088696967701</v>
      </c>
      <c r="D192" s="80"/>
      <c r="E192" s="80"/>
      <c r="F192" s="81"/>
      <c r="H192" s="18"/>
      <c r="I192" s="18"/>
      <c r="J192" s="18"/>
      <c r="K192">
        <f t="shared" si="1"/>
        <v>0</v>
      </c>
      <c r="L192" s="18"/>
    </row>
    <row r="193" spans="1:14" hidden="1">
      <c r="B193" s="170" t="s">
        <v>190</v>
      </c>
      <c r="C193" s="79">
        <f>+'TN 2026'!F92+'TN 2026'!G92</f>
        <v>1455.1458047722267</v>
      </c>
      <c r="D193" s="80"/>
      <c r="E193" s="80"/>
      <c r="F193" s="81"/>
      <c r="H193" s="18"/>
      <c r="I193" s="18"/>
      <c r="J193" s="18"/>
      <c r="K193">
        <f t="shared" si="1"/>
        <v>0</v>
      </c>
      <c r="L193" s="18"/>
    </row>
    <row r="194" spans="1:14" hidden="1">
      <c r="B194" s="170" t="s">
        <v>191</v>
      </c>
      <c r="C194" s="79">
        <f>+'TN 2026'!F93+'TN 2026'!G93</f>
        <v>11031.850640081522</v>
      </c>
      <c r="D194" s="80"/>
      <c r="E194" s="80"/>
      <c r="F194" s="81"/>
      <c r="H194" s="18"/>
      <c r="I194" s="18"/>
      <c r="J194" s="18"/>
      <c r="K194">
        <f t="shared" si="1"/>
        <v>0</v>
      </c>
      <c r="L194" s="18"/>
    </row>
    <row r="195" spans="1:14" hidden="1">
      <c r="B195" s="170" t="s">
        <v>351</v>
      </c>
      <c r="C195" s="79">
        <f>+'TN 2026'!F94+'TN 2026'!G94</f>
        <v>2776.4393813341303</v>
      </c>
      <c r="D195" s="80"/>
      <c r="E195" s="80"/>
      <c r="F195" s="81"/>
      <c r="H195" s="18"/>
      <c r="I195" s="18"/>
      <c r="J195" s="18"/>
      <c r="K195">
        <f t="shared" si="1"/>
        <v>0</v>
      </c>
      <c r="L195" s="18"/>
    </row>
    <row r="196" spans="1:14" hidden="1">
      <c r="B196" s="170" t="s">
        <v>192</v>
      </c>
      <c r="C196" s="79">
        <f>+'TN 2026'!F95+'TN 2026'!G95</f>
        <v>656.80127626672299</v>
      </c>
      <c r="D196" s="80"/>
      <c r="E196" s="80"/>
      <c r="F196" s="81"/>
      <c r="H196" s="18"/>
      <c r="I196" s="18"/>
      <c r="J196" s="18"/>
      <c r="K196">
        <f t="shared" si="1"/>
        <v>0</v>
      </c>
      <c r="L196" s="18"/>
    </row>
    <row r="197" spans="1:14" hidden="1">
      <c r="B197" s="170" t="s">
        <v>193</v>
      </c>
      <c r="C197" s="79">
        <f>+'TN 2026'!F96+'TN 2026'!G96</f>
        <v>198.4245834512088</v>
      </c>
      <c r="D197" s="80"/>
      <c r="E197" s="80"/>
      <c r="F197" s="81"/>
      <c r="H197" s="18"/>
      <c r="I197" s="18"/>
      <c r="J197" s="18"/>
      <c r="K197">
        <f t="shared" si="1"/>
        <v>0</v>
      </c>
      <c r="L197" s="18"/>
    </row>
    <row r="198" spans="1:14" hidden="1">
      <c r="B198" s="170" t="s">
        <v>194</v>
      </c>
      <c r="C198" s="79">
        <f>+'TN 2026'!F97+'TN 2026'!G97</f>
        <v>126122.24307899001</v>
      </c>
      <c r="D198" s="80"/>
      <c r="E198" s="80"/>
      <c r="F198" s="81"/>
      <c r="H198" s="18"/>
      <c r="I198" s="18"/>
      <c r="J198" s="18"/>
      <c r="K198">
        <f t="shared" si="1"/>
        <v>0</v>
      </c>
      <c r="L198" s="18"/>
    </row>
    <row r="199" spans="1:14" hidden="1">
      <c r="B199" s="188" t="s">
        <v>195</v>
      </c>
      <c r="C199" s="79">
        <f>+'TN 2026'!F98+'TN 2026'!G98</f>
        <v>112177.94640672735</v>
      </c>
      <c r="D199" s="80"/>
      <c r="E199" s="80"/>
      <c r="F199" s="81"/>
      <c r="H199" s="18"/>
      <c r="I199" s="18"/>
      <c r="J199" s="18"/>
      <c r="K199">
        <f t="shared" si="1"/>
        <v>0</v>
      </c>
      <c r="L199" s="18"/>
    </row>
    <row r="200" spans="1:14" hidden="1">
      <c r="B200" s="47" t="s">
        <v>196</v>
      </c>
      <c r="C200" s="48">
        <f>+'TN 2026'!G97+'TN 2026'!F97</f>
        <v>126122.24307899001</v>
      </c>
      <c r="D200" s="48"/>
      <c r="E200" s="48"/>
      <c r="F200" s="48"/>
      <c r="H200" s="18"/>
      <c r="I200" s="18"/>
      <c r="J200" s="18"/>
      <c r="K200" s="48">
        <f>SUM(K152:K199,K105:K149)</f>
        <v>0</v>
      </c>
      <c r="L200" s="18"/>
    </row>
    <row r="201" spans="1:14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</row>
    <row r="202" spans="1:14" ht="20">
      <c r="B202" s="224" t="s">
        <v>197</v>
      </c>
      <c r="C202" s="225"/>
      <c r="D202" s="225"/>
      <c r="E202" s="225"/>
      <c r="F202" s="225"/>
      <c r="G202" s="225"/>
      <c r="H202" s="225"/>
      <c r="I202" s="225"/>
      <c r="J202" s="225"/>
      <c r="K202" s="225"/>
      <c r="L202" s="225"/>
      <c r="M202" s="225"/>
      <c r="N202" s="225"/>
    </row>
    <row r="203" spans="1:14" ht="52">
      <c r="B203" s="94" t="s">
        <v>112</v>
      </c>
      <c r="C203" s="95" t="s">
        <v>198</v>
      </c>
      <c r="D203" s="95" t="s">
        <v>199</v>
      </c>
      <c r="E203" s="95" t="s">
        <v>200</v>
      </c>
      <c r="F203" s="95" t="s">
        <v>201</v>
      </c>
      <c r="G203" s="96" t="s">
        <v>202</v>
      </c>
      <c r="H203" s="96" t="s">
        <v>203</v>
      </c>
      <c r="I203" s="96" t="s">
        <v>204</v>
      </c>
      <c r="J203" s="97" t="s">
        <v>415</v>
      </c>
      <c r="K203" s="96" t="s">
        <v>205</v>
      </c>
      <c r="L203" s="98" t="s">
        <v>206</v>
      </c>
      <c r="M203" s="99" t="s">
        <v>207</v>
      </c>
      <c r="N203" s="98" t="s">
        <v>208</v>
      </c>
    </row>
    <row r="204" spans="1:14">
      <c r="A204" s="15" t="str">
        <f>+'TN 2026'!Q4</f>
        <v>002</v>
      </c>
      <c r="B204" s="100"/>
      <c r="C204" s="101">
        <f>+'TN 2026'!G4</f>
        <v>525.00094772765863</v>
      </c>
      <c r="D204" s="101">
        <f>+'TN 2026'!F4</f>
        <v>3.7112951152382379</v>
      </c>
      <c r="E204" s="102">
        <f>$N$84*C204</f>
        <v>98402.18125390065</v>
      </c>
      <c r="F204" s="102">
        <f>D204*$M$84</f>
        <v>334.30099223018959</v>
      </c>
      <c r="G204" s="101">
        <f>+K105</f>
        <v>0</v>
      </c>
      <c r="H204" s="103">
        <f>+J204*ecoparques!$D$14</f>
        <v>36410.164922009848</v>
      </c>
      <c r="I204" s="102">
        <f>E204+F204+G204+H204-K204</f>
        <v>135146.64716814068</v>
      </c>
      <c r="J204" s="104">
        <f>+'TN 2026'!L4</f>
        <v>1162.4559999999999</v>
      </c>
      <c r="K204" s="103"/>
      <c r="L204" s="105">
        <f t="shared" ref="L204:L250" si="2">ROUNDUP((I204)/J204,2)</f>
        <v>116.26</v>
      </c>
      <c r="M204" s="105">
        <f>+'TN 2026'!H4/J204*($N$91)+'TN 2026'!I4/J204*$N$93</f>
        <v>8.9308759365237211</v>
      </c>
      <c r="N204" s="106">
        <f>L204+M204</f>
        <v>125.19087593652372</v>
      </c>
    </row>
    <row r="205" spans="1:14">
      <c r="A205" s="15" t="str">
        <f>+'TN 2026'!Q5</f>
        <v>004</v>
      </c>
      <c r="B205" s="107"/>
      <c r="C205" s="101">
        <f>+'TN 2026'!G5</f>
        <v>770.49321792192404</v>
      </c>
      <c r="D205" s="101">
        <f>+'TN 2026'!F5</f>
        <v>5.4467096266675554</v>
      </c>
      <c r="E205" s="102">
        <f t="shared" ref="E205:E213" si="3">$N$84*C205</f>
        <v>144415.38365409701</v>
      </c>
      <c r="F205" s="102">
        <f t="shared" ref="F205:F213" si="4">D205*$M$84</f>
        <v>490.62129958581988</v>
      </c>
      <c r="G205" s="101">
        <f t="shared" ref="G205:G268" si="5">+K106</f>
        <v>0</v>
      </c>
      <c r="H205" s="103">
        <f>+J205*ecoparques!$D$14</f>
        <v>67546.810822861808</v>
      </c>
      <c r="I205" s="102">
        <f t="shared" ref="I205:I268" si="6">E205+F205+G205+H205-K205</f>
        <v>212452.81577654462</v>
      </c>
      <c r="J205" s="104">
        <f>+'TN 2026'!L5</f>
        <v>2156.5459999999998</v>
      </c>
      <c r="K205" s="103"/>
      <c r="L205" s="105">
        <f t="shared" si="2"/>
        <v>98.52000000000001</v>
      </c>
      <c r="M205" s="105">
        <f>+'TN 2026'!H5/J205*($N$91)+'TN 2026'!I5/J205*$N$93</f>
        <v>7.0651369807844757</v>
      </c>
      <c r="N205" s="106">
        <f t="shared" ref="N205:N250" si="7">L205+M205</f>
        <v>105.58513698078448</v>
      </c>
    </row>
    <row r="206" spans="1:14">
      <c r="A206" s="15" t="str">
        <f>+'TN 2026'!Q6</f>
        <v>042</v>
      </c>
      <c r="B206" s="108"/>
      <c r="C206" s="101">
        <f>+'TN 2026'!G6</f>
        <v>1438.504524926318</v>
      </c>
      <c r="D206" s="101">
        <f>+'TN 2026'!F6</f>
        <v>10.168962246095937</v>
      </c>
      <c r="E206" s="102">
        <f t="shared" si="3"/>
        <v>269622.33803392126</v>
      </c>
      <c r="F206" s="102">
        <f t="shared" si="4"/>
        <v>915.98594648622725</v>
      </c>
      <c r="G206" s="101">
        <f t="shared" si="5"/>
        <v>0</v>
      </c>
      <c r="H206" s="103">
        <f>+J206*ecoparques!$D$14</f>
        <v>92034.286113700335</v>
      </c>
      <c r="I206" s="102">
        <f t="shared" si="6"/>
        <v>362572.6100941078</v>
      </c>
      <c r="J206" s="104">
        <f>+'TN 2026'!L6</f>
        <v>2938.35</v>
      </c>
      <c r="K206" s="103"/>
      <c r="L206" s="105">
        <f t="shared" si="2"/>
        <v>123.4</v>
      </c>
      <c r="M206" s="105">
        <f>+'TN 2026'!H6/J206*($N$91)+'TN 2026'!I6/J206*$N$93</f>
        <v>9.6809549574076854</v>
      </c>
      <c r="N206" s="106">
        <f t="shared" si="7"/>
        <v>133.0809549574077</v>
      </c>
    </row>
    <row r="207" spans="1:14">
      <c r="A207" s="15" t="str">
        <f>+'TN 2026'!Q7</f>
        <v>043</v>
      </c>
      <c r="B207" s="108"/>
      <c r="C207" s="101">
        <f>+'TN 2026'!G7</f>
        <v>47.546025635643879</v>
      </c>
      <c r="D207" s="101">
        <f>+'TN 2026'!F7</f>
        <v>0.33610859838312801</v>
      </c>
      <c r="E207" s="102">
        <f t="shared" si="3"/>
        <v>8911.6651174661329</v>
      </c>
      <c r="F207" s="102">
        <f t="shared" si="4"/>
        <v>30.275533054548053</v>
      </c>
      <c r="G207" s="101">
        <f t="shared" si="5"/>
        <v>0</v>
      </c>
      <c r="H207" s="103">
        <f>+J207*ecoparques!$D$14</f>
        <v>5002.0220272553361</v>
      </c>
      <c r="I207" s="102">
        <f t="shared" si="6"/>
        <v>13943.962677776017</v>
      </c>
      <c r="J207" s="104">
        <f>+'TN 2026'!L7</f>
        <v>159.69800000000001</v>
      </c>
      <c r="K207" s="103"/>
      <c r="L207" s="105">
        <f t="shared" si="2"/>
        <v>87.320000000000007</v>
      </c>
      <c r="M207" s="105">
        <f>+'TN 2026'!H7/J207*($N$91)+'TN 2026'!I7/J207*$N$93</f>
        <v>5.887422935600128</v>
      </c>
      <c r="N207" s="106">
        <f t="shared" si="7"/>
        <v>93.207422935600135</v>
      </c>
    </row>
    <row r="208" spans="1:14">
      <c r="A208" s="15" t="str">
        <f>+'TN 2026'!Q8</f>
        <v>006</v>
      </c>
      <c r="B208" s="108"/>
      <c r="C208" s="101">
        <f>+'TN 2026'!G8</f>
        <v>1954.4616188625175</v>
      </c>
      <c r="D208" s="101">
        <f>+'TN 2026'!F8</f>
        <v>13.816325266459971</v>
      </c>
      <c r="E208" s="102">
        <f t="shared" si="3"/>
        <v>366329.40817636048</v>
      </c>
      <c r="F208" s="102">
        <f t="shared" si="4"/>
        <v>1244.5281504529755</v>
      </c>
      <c r="G208" s="101">
        <f t="shared" si="5"/>
        <v>0</v>
      </c>
      <c r="H208" s="103">
        <f>+J208*ecoparques!$D$14</f>
        <v>142838.77187198578</v>
      </c>
      <c r="I208" s="102">
        <f t="shared" si="6"/>
        <v>510412.70819879929</v>
      </c>
      <c r="J208" s="104">
        <f>+'TN 2026'!L8</f>
        <v>4560.3689999999997</v>
      </c>
      <c r="K208" s="103"/>
      <c r="L208" s="105">
        <f t="shared" si="2"/>
        <v>111.93</v>
      </c>
      <c r="M208" s="105">
        <f>+'TN 2026'!H8/J208*($N$91)+'TN 2026'!I8/J208*$N$93</f>
        <v>8.4749599382653784</v>
      </c>
      <c r="N208" s="106">
        <f t="shared" si="7"/>
        <v>120.40495993826539</v>
      </c>
    </row>
    <row r="209" spans="1:14">
      <c r="A209" s="15" t="str">
        <f>+'TN 2026'!Q9</f>
        <v>027</v>
      </c>
      <c r="B209" s="108"/>
      <c r="C209" s="101">
        <f>+'TN 2026'!G9</f>
        <v>397.15808818762457</v>
      </c>
      <c r="D209" s="101">
        <f>+'TN 2026'!F9</f>
        <v>2.8075584987947546</v>
      </c>
      <c r="E209" s="102">
        <f t="shared" si="3"/>
        <v>74440.288821277456</v>
      </c>
      <c r="F209" s="102">
        <f t="shared" si="4"/>
        <v>252.89543481403763</v>
      </c>
      <c r="G209" s="101">
        <f t="shared" si="5"/>
        <v>0</v>
      </c>
      <c r="H209" s="103">
        <f>+J209*ecoparques!$D$14</f>
        <v>25516.269737276354</v>
      </c>
      <c r="I209" s="102">
        <f t="shared" si="6"/>
        <v>100209.45399336785</v>
      </c>
      <c r="J209" s="104">
        <f>+'TN 2026'!L9</f>
        <v>814.65</v>
      </c>
      <c r="K209" s="103"/>
      <c r="L209" s="105">
        <f t="shared" si="2"/>
        <v>123.01</v>
      </c>
      <c r="M209" s="105">
        <f>+'TN 2026'!H9/J209*($N$91)+'TN 2026'!I9/J209*$N$93</f>
        <v>9.6405728783189879</v>
      </c>
      <c r="N209" s="106">
        <f t="shared" si="7"/>
        <v>132.650572878319</v>
      </c>
    </row>
    <row r="210" spans="1:14">
      <c r="A210" s="15" t="str">
        <f>+'TN 2026'!Q10</f>
        <v>023</v>
      </c>
      <c r="B210" s="107"/>
      <c r="C210" s="101">
        <f>+'TN 2026'!G10</f>
        <v>146.51423546970926</v>
      </c>
      <c r="D210" s="101">
        <f>+'TN 2026'!F10</f>
        <v>1.0357268282374001</v>
      </c>
      <c r="E210" s="102">
        <f t="shared" si="3"/>
        <v>27461.513007488735</v>
      </c>
      <c r="F210" s="102">
        <f t="shared" si="4"/>
        <v>93.294792143460057</v>
      </c>
      <c r="G210" s="101">
        <f t="shared" si="5"/>
        <v>0</v>
      </c>
      <c r="H210" s="103">
        <f>+J210*ecoparques!$D$14</f>
        <v>9824.0692359869008</v>
      </c>
      <c r="I210" s="102">
        <f t="shared" si="6"/>
        <v>37378.877035619094</v>
      </c>
      <c r="J210" s="104">
        <f>+'TN 2026'!L10</f>
        <v>313.64999999999998</v>
      </c>
      <c r="K210" s="103"/>
      <c r="L210" s="105">
        <f t="shared" si="2"/>
        <v>119.18</v>
      </c>
      <c r="M210" s="105">
        <f>+'TN 2026'!H10/J210*($N$91)+'TN 2026'!I10/J210*$N$93</f>
        <v>9.2372994757520601</v>
      </c>
      <c r="N210" s="106">
        <f t="shared" si="7"/>
        <v>128.41729947575206</v>
      </c>
    </row>
    <row r="211" spans="1:14">
      <c r="A211" s="15" t="str">
        <f>+'TN 2026'!Q11</f>
        <v>033</v>
      </c>
      <c r="B211" s="108"/>
      <c r="C211" s="101">
        <f>+'TN 2026'!G11</f>
        <v>77.680150974519222</v>
      </c>
      <c r="D211" s="101">
        <f>+'TN 2026'!F11</f>
        <v>0.54913037035554657</v>
      </c>
      <c r="E211" s="102">
        <f t="shared" si="3"/>
        <v>14559.776185376026</v>
      </c>
      <c r="F211" s="102">
        <f t="shared" si="4"/>
        <v>49.463818417416952</v>
      </c>
      <c r="G211" s="101">
        <f t="shared" si="5"/>
        <v>0</v>
      </c>
      <c r="H211" s="103">
        <f>+J211*ecoparques!$D$14</f>
        <v>6013.7774376199104</v>
      </c>
      <c r="I211" s="102">
        <f t="shared" si="6"/>
        <v>20623.017441413351</v>
      </c>
      <c r="J211" s="104">
        <f>+'TN 2026'!L11</f>
        <v>192</v>
      </c>
      <c r="K211" s="103"/>
      <c r="L211" s="105">
        <f t="shared" si="2"/>
        <v>107.42</v>
      </c>
      <c r="M211" s="105">
        <f>+'TN 2026'!H11/J211*($N$91)+'TN 2026'!I11/J211*$N$93</f>
        <v>8.0005404389698374</v>
      </c>
      <c r="N211" s="106">
        <f t="shared" si="7"/>
        <v>115.42054043896984</v>
      </c>
    </row>
    <row r="212" spans="1:14">
      <c r="A212" s="15" t="str">
        <f>+'TN 2026'!Q12</f>
        <v>034</v>
      </c>
      <c r="B212" s="107"/>
      <c r="C212" s="101">
        <f>+'TN 2026'!G12</f>
        <v>734.24366827743984</v>
      </c>
      <c r="D212" s="101">
        <f>+'TN 2026'!F12</f>
        <v>5.1904571815863552</v>
      </c>
      <c r="E212" s="102">
        <f t="shared" si="3"/>
        <v>137621.04400589663</v>
      </c>
      <c r="F212" s="102">
        <f t="shared" si="4"/>
        <v>467.5389404653277</v>
      </c>
      <c r="G212" s="101">
        <f t="shared" si="5"/>
        <v>0</v>
      </c>
      <c r="H212" s="103">
        <f>+J212*ecoparques!$D$14</f>
        <v>45313.18655731628</v>
      </c>
      <c r="I212" s="102">
        <f t="shared" si="6"/>
        <v>183401.76950367825</v>
      </c>
      <c r="J212" s="104">
        <f>+'TN 2026'!L12</f>
        <v>1446.7</v>
      </c>
      <c r="K212" s="103"/>
      <c r="L212" s="105">
        <f t="shared" si="2"/>
        <v>126.78</v>
      </c>
      <c r="M212" s="105">
        <f>+'TN 2026'!H12/J212*($N$91)+'TN 2026'!I12/J212*$N$93</f>
        <v>10.036267335358803</v>
      </c>
      <c r="N212" s="106">
        <f t="shared" si="7"/>
        <v>136.81626733535882</v>
      </c>
    </row>
    <row r="213" spans="1:14">
      <c r="A213" s="15" t="str">
        <f>+'TN 2026'!Q13</f>
        <v>039</v>
      </c>
      <c r="B213" s="107"/>
      <c r="C213" s="101">
        <f>+'TN 2026'!G13</f>
        <v>969.48092191570504</v>
      </c>
      <c r="D213" s="101">
        <f>+'TN 2026'!F13</f>
        <v>6.8533777422605304</v>
      </c>
      <c r="E213" s="102">
        <f t="shared" si="3"/>
        <v>181712.12416560369</v>
      </c>
      <c r="F213" s="102">
        <f t="shared" si="4"/>
        <v>617.32923635174745</v>
      </c>
      <c r="G213" s="101">
        <f t="shared" si="5"/>
        <v>0</v>
      </c>
      <c r="H213" s="103">
        <f>+J213*ecoparques!$D$14</f>
        <v>60970.463299007053</v>
      </c>
      <c r="I213" s="102">
        <f t="shared" si="6"/>
        <v>243299.91670096247</v>
      </c>
      <c r="J213" s="104">
        <f>+'TN 2026'!L13</f>
        <v>1946.585</v>
      </c>
      <c r="K213" s="103"/>
      <c r="L213" s="105">
        <f t="shared" si="2"/>
        <v>124.99000000000001</v>
      </c>
      <c r="M213" s="105">
        <f>+'TN 2026'!H13/J213*($N$91)+'TN 2026'!I13/J213*$N$93</f>
        <v>9.8486428185284804</v>
      </c>
      <c r="N213" s="106">
        <f t="shared" si="7"/>
        <v>134.83864281852848</v>
      </c>
    </row>
    <row r="214" spans="1:14">
      <c r="A214" s="15" t="str">
        <f>+'TN 2026'!Q14</f>
        <v>003</v>
      </c>
      <c r="B214" s="108"/>
      <c r="C214" s="101">
        <f>+'TN 2026'!G14</f>
        <v>317.74471514494132</v>
      </c>
      <c r="D214" s="101">
        <f>+'TN 2026'!F14</f>
        <v>2.2461757722805347</v>
      </c>
      <c r="E214" s="102">
        <f t="shared" ref="E214:E252" si="8">$N$84*C214</f>
        <v>59555.650684998414</v>
      </c>
      <c r="F214" s="102">
        <f t="shared" ref="F214:F250" si="9">D214*$M$84</f>
        <v>202.32796532770286</v>
      </c>
      <c r="G214" s="101">
        <f t="shared" si="5"/>
        <v>0</v>
      </c>
      <c r="H214" s="103">
        <f>+J214*ecoparques!$D$14</f>
        <v>32548.00429324339</v>
      </c>
      <c r="I214" s="102">
        <f t="shared" si="6"/>
        <v>92305.982943569514</v>
      </c>
      <c r="J214" s="104">
        <f>+'TN 2026'!L14</f>
        <v>1039.1500000000001</v>
      </c>
      <c r="K214" s="103"/>
      <c r="L214" s="105">
        <f t="shared" si="2"/>
        <v>88.83</v>
      </c>
      <c r="M214" s="105">
        <f>+'TN 2026'!H14/J214*($N$91)+'TN 2026'!I14/J214*$N$93</f>
        <v>6.0465909042360115</v>
      </c>
      <c r="N214" s="106">
        <f t="shared" si="7"/>
        <v>94.876590904236011</v>
      </c>
    </row>
    <row r="215" spans="1:14">
      <c r="A215" s="15" t="str">
        <f>+'TN 2026'!Q15</f>
        <v>044</v>
      </c>
      <c r="B215" s="107"/>
      <c r="C215" s="101">
        <f>+'TN 2026'!G15</f>
        <v>1605.2991095876941</v>
      </c>
      <c r="D215" s="101">
        <f>+'TN 2026'!F15</f>
        <v>42</v>
      </c>
      <c r="E215" s="102">
        <f t="shared" si="8"/>
        <v>300885.04531675065</v>
      </c>
      <c r="F215" s="102">
        <f t="shared" si="9"/>
        <v>3783.2188596423857</v>
      </c>
      <c r="G215" s="101">
        <f t="shared" si="5"/>
        <v>0</v>
      </c>
      <c r="H215" s="103">
        <f>+J215*ecoparques!$D$14</f>
        <v>130117.28345960812</v>
      </c>
      <c r="I215" s="102">
        <f t="shared" si="6"/>
        <v>434785.54763600114</v>
      </c>
      <c r="J215" s="104">
        <f>+'TN 2026'!L15</f>
        <v>4154.2139999999999</v>
      </c>
      <c r="K215" s="103"/>
      <c r="L215" s="105">
        <f t="shared" si="2"/>
        <v>104.67</v>
      </c>
      <c r="M215" s="105">
        <f>+'TN 2026'!H15/J215*($N$91)+'TN 2026'!I15/J215*$N$93</f>
        <v>7.6925532335254081</v>
      </c>
      <c r="N215" s="106">
        <f t="shared" si="7"/>
        <v>112.3625532335254</v>
      </c>
    </row>
    <row r="216" spans="1:14">
      <c r="A216" s="15" t="str">
        <f>+'TN 2026'!Q16</f>
        <v>045</v>
      </c>
      <c r="B216" s="107"/>
      <c r="C216" s="101">
        <f>+'TN 2026'!G16</f>
        <v>453.54427655300452</v>
      </c>
      <c r="D216" s="101">
        <f>+'TN 2026'!F16</f>
        <v>3.2061592753325776</v>
      </c>
      <c r="E216" s="102">
        <f t="shared" si="8"/>
        <v>85008.886748123419</v>
      </c>
      <c r="F216" s="102">
        <f t="shared" si="9"/>
        <v>288.80005327275171</v>
      </c>
      <c r="G216" s="101">
        <f t="shared" si="5"/>
        <v>0</v>
      </c>
      <c r="H216" s="103">
        <f>+J216*ecoparques!$D$14</f>
        <v>35837.102047016655</v>
      </c>
      <c r="I216" s="102">
        <f t="shared" si="6"/>
        <v>121134.78884841282</v>
      </c>
      <c r="J216" s="104">
        <f>+'TN 2026'!L16</f>
        <v>1144.1600000000001</v>
      </c>
      <c r="K216" s="103"/>
      <c r="L216" s="105">
        <f t="shared" si="2"/>
        <v>105.88000000000001</v>
      </c>
      <c r="M216" s="105">
        <f>+'TN 2026'!H16/J216*($N$91)+'TN 2026'!I16/J216*$N$93</f>
        <v>7.8386887902491269</v>
      </c>
      <c r="N216" s="106">
        <f t="shared" si="7"/>
        <v>113.71868879024913</v>
      </c>
    </row>
    <row r="217" spans="1:14">
      <c r="A217" s="15" t="str">
        <f>+'TN 2026'!Q17</f>
        <v>047</v>
      </c>
      <c r="B217" s="107"/>
      <c r="C217" s="101">
        <f>+'TN 2026'!G17</f>
        <v>177.17179142898559</v>
      </c>
      <c r="D217" s="101">
        <f>+'TN 2026'!F17</f>
        <v>1.2524487944915021</v>
      </c>
      <c r="E217" s="102">
        <f t="shared" si="8"/>
        <v>33207.73192645199</v>
      </c>
      <c r="F217" s="102">
        <f t="shared" si="9"/>
        <v>112.8163785727767</v>
      </c>
      <c r="G217" s="101">
        <f t="shared" si="5"/>
        <v>0</v>
      </c>
      <c r="H217" s="103">
        <f>+J217*ecoparques!$D$14</f>
        <v>16367.184375147313</v>
      </c>
      <c r="I217" s="102">
        <f t="shared" si="6"/>
        <v>49687.732680172077</v>
      </c>
      <c r="J217" s="104">
        <f>+'TN 2026'!L17</f>
        <v>522.54999999999995</v>
      </c>
      <c r="K217" s="103">
        <v>0</v>
      </c>
      <c r="L217" s="105">
        <f t="shared" si="2"/>
        <v>95.09</v>
      </c>
      <c r="M217" s="105">
        <f>+'TN 2026'!H17/J217*($N$91)+'TN 2026'!I17/J217*$N$93</f>
        <v>6.7046670642161512</v>
      </c>
      <c r="N217" s="106">
        <f t="shared" si="7"/>
        <v>101.79466706421616</v>
      </c>
    </row>
    <row r="218" spans="1:14">
      <c r="A218" s="15" t="str">
        <f>+'TN 2026'!Q18</f>
        <v>048</v>
      </c>
      <c r="B218" s="108"/>
      <c r="C218" s="101">
        <f>+'TN 2026'!G18</f>
        <v>1916.4126481015953</v>
      </c>
      <c r="D218" s="101">
        <f>+'TN 2026'!F18</f>
        <v>13.547352496151555</v>
      </c>
      <c r="E218" s="102">
        <f t="shared" si="8"/>
        <v>359197.798731566</v>
      </c>
      <c r="F218" s="102">
        <f t="shared" si="9"/>
        <v>1220.2999871824743</v>
      </c>
      <c r="G218" s="101">
        <f t="shared" si="5"/>
        <v>0</v>
      </c>
      <c r="H218" s="103">
        <f>+J218*ecoparques!$D$14</f>
        <v>157667.46284109951</v>
      </c>
      <c r="I218" s="102">
        <f t="shared" si="6"/>
        <v>518085.56155984802</v>
      </c>
      <c r="J218" s="104">
        <f>+'TN 2026'!L18</f>
        <v>5033.8</v>
      </c>
      <c r="K218" s="103"/>
      <c r="L218" s="105">
        <f t="shared" si="2"/>
        <v>102.93</v>
      </c>
      <c r="M218" s="105">
        <f>+'TN 2026'!H18/J218*($N$91)+'TN 2026'!I18/J218*$N$93</f>
        <v>7.5284152283383756</v>
      </c>
      <c r="N218" s="106">
        <f t="shared" si="7"/>
        <v>110.45841522833838</v>
      </c>
    </row>
    <row r="219" spans="1:14">
      <c r="A219" s="15" t="str">
        <f>+'TN 2026'!Q19</f>
        <v>049</v>
      </c>
      <c r="B219" s="108"/>
      <c r="C219" s="101">
        <f>+'TN 2026'!G19</f>
        <v>16.578218239377303</v>
      </c>
      <c r="D219" s="101">
        <f>+'TN 2026'!F19</f>
        <v>0.11719342724514675</v>
      </c>
      <c r="E219" s="102">
        <f t="shared" si="8"/>
        <v>3107.2950308352056</v>
      </c>
      <c r="F219" s="102">
        <f t="shared" si="9"/>
        <v>10.556390099523023</v>
      </c>
      <c r="G219" s="101">
        <f t="shared" si="5"/>
        <v>0</v>
      </c>
      <c r="H219" s="103">
        <f>+J219*ecoparques!$D$14</f>
        <v>8165.5821770182847</v>
      </c>
      <c r="I219" s="102">
        <f t="shared" si="6"/>
        <v>11283.433597953013</v>
      </c>
      <c r="J219" s="104">
        <f>+'TN 2026'!L19</f>
        <v>260.7</v>
      </c>
      <c r="K219" s="103"/>
      <c r="L219" s="105">
        <f t="shared" si="2"/>
        <v>43.29</v>
      </c>
      <c r="M219" s="105">
        <f>+'TN 2026'!H19/J219*($N$91)+'TN 2026'!I19/J219*$N$93</f>
        <v>1.2574980311594033</v>
      </c>
      <c r="N219" s="106">
        <f t="shared" si="7"/>
        <v>44.5474980311594</v>
      </c>
    </row>
    <row r="220" spans="1:14">
      <c r="A220" s="15" t="str">
        <f>+'TN 2026'!Q20</f>
        <v>055</v>
      </c>
      <c r="B220" s="107"/>
      <c r="C220" s="101">
        <f>+'TN 2026'!G20</f>
        <v>576.60636060593197</v>
      </c>
      <c r="D220" s="101">
        <f>+'TN 2026'!F20</f>
        <v>4.0761000123797571</v>
      </c>
      <c r="E220" s="102">
        <f t="shared" si="8"/>
        <v>108074.70701544359</v>
      </c>
      <c r="F220" s="102">
        <f t="shared" si="9"/>
        <v>367.16139144342048</v>
      </c>
      <c r="G220" s="101">
        <f t="shared" si="5"/>
        <v>0</v>
      </c>
      <c r="H220" s="103">
        <f>+J220*ecoparques!$D$14</f>
        <v>37817.889990532713</v>
      </c>
      <c r="I220" s="102">
        <f t="shared" si="6"/>
        <v>146259.75839741973</v>
      </c>
      <c r="J220" s="104">
        <f>+'TN 2026'!L20</f>
        <v>1207.4000000000001</v>
      </c>
      <c r="K220" s="103"/>
      <c r="L220" s="105">
        <f t="shared" si="2"/>
        <v>121.14</v>
      </c>
      <c r="M220" s="105">
        <f>+'TN 2026'!H20/J220*($N$91)+'TN 2026'!I20/J220*$N$93</f>
        <v>9.4436253597702642</v>
      </c>
      <c r="N220" s="106">
        <f t="shared" si="7"/>
        <v>130.58362535977025</v>
      </c>
    </row>
    <row r="221" spans="1:14">
      <c r="A221" s="15" t="str">
        <f>+'TN 2026'!Q21</f>
        <v>056</v>
      </c>
      <c r="B221" s="108"/>
      <c r="C221" s="101">
        <f>+'TN 2026'!G21</f>
        <v>57.393678913615041</v>
      </c>
      <c r="D221" s="101">
        <f>+'TN 2026'!F21</f>
        <v>0.40572284891978233</v>
      </c>
      <c r="E221" s="102">
        <f t="shared" si="8"/>
        <v>10757.434286033742</v>
      </c>
      <c r="F221" s="102">
        <f t="shared" si="9"/>
        <v>36.54615080526569</v>
      </c>
      <c r="G221" s="101">
        <f t="shared" si="5"/>
        <v>0</v>
      </c>
      <c r="H221" s="103">
        <f>+J221*ecoparques!$D$14</f>
        <v>6420.7723544138335</v>
      </c>
      <c r="I221" s="102">
        <f t="shared" si="6"/>
        <v>17214.752791252839</v>
      </c>
      <c r="J221" s="104">
        <f>+'TN 2026'!L21</f>
        <v>204.994</v>
      </c>
      <c r="K221" s="103"/>
      <c r="L221" s="105">
        <f t="shared" si="2"/>
        <v>83.98</v>
      </c>
      <c r="M221" s="105">
        <f>+'TN 2026'!H21/J221*($N$91)+'TN 2026'!I21/J221*$N$93</f>
        <v>5.5364758055674752</v>
      </c>
      <c r="N221" s="106">
        <f t="shared" si="7"/>
        <v>89.516475805567481</v>
      </c>
    </row>
    <row r="222" spans="1:14">
      <c r="A222" s="15" t="str">
        <f>+'TN 2026'!Q22</f>
        <v>057</v>
      </c>
      <c r="B222" s="108"/>
      <c r="C222" s="101">
        <f>+'TN 2026'!G22</f>
        <v>170.99383918361082</v>
      </c>
      <c r="D222" s="101">
        <f>+'TN 2026'!F22</f>
        <v>1.2087761038236591</v>
      </c>
      <c r="E222" s="102">
        <f t="shared" si="8"/>
        <v>32049.783585104105</v>
      </c>
      <c r="F222" s="102">
        <f t="shared" si="9"/>
        <v>108.88248935882642</v>
      </c>
      <c r="G222" s="101">
        <f t="shared" si="5"/>
        <v>0</v>
      </c>
      <c r="H222" s="103">
        <f>+J222*ecoparques!$D$14</f>
        <v>16575.160844865004</v>
      </c>
      <c r="I222" s="102">
        <f t="shared" si="6"/>
        <v>48733.826919327941</v>
      </c>
      <c r="J222" s="104">
        <f>+'TN 2026'!L22</f>
        <v>529.19000000000005</v>
      </c>
      <c r="K222" s="103"/>
      <c r="L222" s="105">
        <f t="shared" si="2"/>
        <v>92.100000000000009</v>
      </c>
      <c r="M222" s="105">
        <f>+'TN 2026'!H22/J222*($N$91)+'TN 2026'!I22/J222*$N$93</f>
        <v>6.389683207340668</v>
      </c>
      <c r="N222" s="106">
        <f t="shared" si="7"/>
        <v>98.489683207340676</v>
      </c>
    </row>
    <row r="223" spans="1:14">
      <c r="A223" s="15" t="str">
        <f>+'TN 2026'!Q23</f>
        <v>061</v>
      </c>
      <c r="B223" s="108"/>
      <c r="C223" s="101">
        <f>+'TN 2026'!G23</f>
        <v>151.14884888712547</v>
      </c>
      <c r="D223" s="101">
        <f>+'TN 2026'!F23</f>
        <v>1.0684894703078998</v>
      </c>
      <c r="E223" s="102">
        <f t="shared" si="8"/>
        <v>28330.189667057217</v>
      </c>
      <c r="F223" s="102">
        <f t="shared" si="9"/>
        <v>96.245940842813084</v>
      </c>
      <c r="G223" s="101">
        <f t="shared" si="5"/>
        <v>0</v>
      </c>
      <c r="H223" s="103">
        <f>+J223*ecoparques!$D$14</f>
        <v>14384.517126182</v>
      </c>
      <c r="I223" s="102">
        <f t="shared" si="6"/>
        <v>42810.952734082035</v>
      </c>
      <c r="J223" s="104">
        <f>+'TN 2026'!L23</f>
        <v>459.25</v>
      </c>
      <c r="K223" s="103"/>
      <c r="L223" s="105">
        <f t="shared" si="2"/>
        <v>93.22</v>
      </c>
      <c r="M223" s="105">
        <f>+'TN 2026'!H23/J223*($N$91)+'TN 2026'!I23/J223*$N$93</f>
        <v>6.5082791394252011</v>
      </c>
      <c r="N223" s="106">
        <f t="shared" si="7"/>
        <v>99.728279139425197</v>
      </c>
    </row>
    <row r="224" spans="1:14">
      <c r="A224" s="15" t="str">
        <f>+'TN 2026'!Q24</f>
        <v>062</v>
      </c>
      <c r="B224" s="108"/>
      <c r="C224" s="101">
        <f>+'TN 2026'!G24</f>
        <v>1718.0880825550564</v>
      </c>
      <c r="D224" s="101">
        <f>+'TN 2026'!F24</f>
        <v>12.145372186343748</v>
      </c>
      <c r="E224" s="102">
        <f t="shared" si="8"/>
        <v>322025.35184269823</v>
      </c>
      <c r="F224" s="102">
        <f t="shared" si="9"/>
        <v>1094.0143122083748</v>
      </c>
      <c r="G224" s="101">
        <f t="shared" si="5"/>
        <v>0</v>
      </c>
      <c r="H224" s="103">
        <f>+J224*ecoparques!$D$14</f>
        <v>133832.54504575772</v>
      </c>
      <c r="I224" s="102">
        <f t="shared" si="6"/>
        <v>456951.91120066436</v>
      </c>
      <c r="J224" s="104">
        <f>+'TN 2026'!L24</f>
        <v>4272.83</v>
      </c>
      <c r="K224" s="103"/>
      <c r="L224" s="105">
        <f t="shared" si="2"/>
        <v>106.95</v>
      </c>
      <c r="M224" s="105">
        <f>+'TN 2026'!H24/J224*($N$91)+'TN 2026'!I24/J224*$N$93</f>
        <v>7.951339620930491</v>
      </c>
      <c r="N224" s="106">
        <f t="shared" si="7"/>
        <v>114.9013396209305</v>
      </c>
    </row>
    <row r="225" spans="1:14">
      <c r="A225" s="15" t="str">
        <f>+'TN 2026'!Q25</f>
        <v>068</v>
      </c>
      <c r="B225" s="107"/>
      <c r="C225" s="101">
        <f>+'TN 2026'!G25</f>
        <v>439.05909457426702</v>
      </c>
      <c r="D225" s="101">
        <f>+'TN 2026'!F25</f>
        <v>3.1037617742352794</v>
      </c>
      <c r="E225" s="102">
        <f t="shared" si="8"/>
        <v>82293.894501467774</v>
      </c>
      <c r="F225" s="102">
        <f t="shared" si="9"/>
        <v>279.57643047914337</v>
      </c>
      <c r="G225" s="101">
        <f t="shared" si="5"/>
        <v>0</v>
      </c>
      <c r="H225" s="103">
        <f>+J225*ecoparques!$D$14</f>
        <v>24062.783581064105</v>
      </c>
      <c r="I225" s="102">
        <f t="shared" si="6"/>
        <v>106636.25451301102</v>
      </c>
      <c r="J225" s="104">
        <f>+'TN 2026'!L25</f>
        <v>768.245</v>
      </c>
      <c r="K225" s="103">
        <v>0</v>
      </c>
      <c r="L225" s="105">
        <f t="shared" si="2"/>
        <v>138.81</v>
      </c>
      <c r="M225" s="105">
        <f>+'TN 2026'!H25/J225*($N$91)+'TN 2026'!I25/J225*$N$93</f>
        <v>11.301438538215271</v>
      </c>
      <c r="N225" s="106">
        <f t="shared" si="7"/>
        <v>150.11143853821528</v>
      </c>
    </row>
    <row r="226" spans="1:14">
      <c r="A226" s="15" t="str">
        <f>+'TN 2026'!Q26</f>
        <v>070</v>
      </c>
      <c r="B226" s="108"/>
      <c r="C226" s="101">
        <f>+'TN 2026'!G26</f>
        <v>148.8119048591264</v>
      </c>
      <c r="D226" s="101">
        <f>+'TN 2026'!F26</f>
        <v>1.0519693306905573</v>
      </c>
      <c r="E226" s="102">
        <f t="shared" si="8"/>
        <v>27892.170667627382</v>
      </c>
      <c r="F226" s="102">
        <f t="shared" si="9"/>
        <v>94.757862181759378</v>
      </c>
      <c r="G226" s="101">
        <f t="shared" si="5"/>
        <v>0</v>
      </c>
      <c r="H226" s="103">
        <f>+J226*ecoparques!$D$14</f>
        <v>13863.291759830787</v>
      </c>
      <c r="I226" s="102">
        <f>E226+F226+G226+H226-K226</f>
        <v>41850.220289639925</v>
      </c>
      <c r="J226" s="104">
        <f>+'TN 2026'!L26</f>
        <v>442.60899999999998</v>
      </c>
      <c r="K226" s="103"/>
      <c r="L226" s="105">
        <f t="shared" si="2"/>
        <v>94.56</v>
      </c>
      <c r="M226" s="105">
        <f>+'TN 2026'!H26/J226*($N$91)+'TN 2026'!I26/J226*$N$93</f>
        <v>6.6485651332237223</v>
      </c>
      <c r="N226" s="106">
        <f t="shared" si="7"/>
        <v>101.20856513322373</v>
      </c>
    </row>
    <row r="227" spans="1:14">
      <c r="A227" s="15" t="str">
        <f>+'TN 2026'!Q27</f>
        <v>071</v>
      </c>
      <c r="B227" s="108"/>
      <c r="C227" s="101">
        <f>+'TN 2026'!G27</f>
        <v>56.488380468756681</v>
      </c>
      <c r="D227" s="101">
        <f>+'TN 2026'!F27</f>
        <v>0.39932318486055002</v>
      </c>
      <c r="E227" s="102">
        <f t="shared" si="8"/>
        <v>10587.752036800855</v>
      </c>
      <c r="F227" s="102">
        <f t="shared" si="9"/>
        <v>35.969690572783229</v>
      </c>
      <c r="G227" s="101">
        <f t="shared" si="5"/>
        <v>0</v>
      </c>
      <c r="H227" s="103">
        <f>+J227*ecoparques!$D$14</f>
        <v>4313.0060060430296</v>
      </c>
      <c r="I227" s="102">
        <f t="shared" si="6"/>
        <v>14936.727733416668</v>
      </c>
      <c r="J227" s="104">
        <f>+'TN 2026'!L27</f>
        <v>137.69999999999999</v>
      </c>
      <c r="K227" s="103"/>
      <c r="L227" s="105">
        <f t="shared" si="2"/>
        <v>108.48</v>
      </c>
      <c r="M227" s="105">
        <f>+'TN 2026'!H27/J227*($N$91)+'TN 2026'!I27/J227*$N$93</f>
        <v>8.112144457919813</v>
      </c>
      <c r="N227" s="106">
        <f t="shared" si="7"/>
        <v>116.59214445791982</v>
      </c>
    </row>
    <row r="228" spans="1:14">
      <c r="A228" s="15" t="str">
        <f>+'TN 2026'!Q28</f>
        <v>073</v>
      </c>
      <c r="B228" s="100"/>
      <c r="C228" s="101">
        <f>+'TN 2026'!G28</f>
        <v>271.94632682352403</v>
      </c>
      <c r="D228" s="101">
        <f>+'TN 2026'!F28</f>
        <v>1.922421433171738</v>
      </c>
      <c r="E228" s="102">
        <f t="shared" si="8"/>
        <v>50971.549402426186</v>
      </c>
      <c r="F228" s="102">
        <f t="shared" si="9"/>
        <v>173.16526243228722</v>
      </c>
      <c r="G228" s="101">
        <f t="shared" si="5"/>
        <v>0</v>
      </c>
      <c r="H228" s="103">
        <f>+J228*ecoparques!$D$14</f>
        <v>17020.117731733899</v>
      </c>
      <c r="I228" s="102">
        <f t="shared" si="6"/>
        <v>68164.832396592377</v>
      </c>
      <c r="J228" s="104">
        <f>+'TN 2026'!L28</f>
        <v>543.39599999999996</v>
      </c>
      <c r="K228" s="103"/>
      <c r="L228" s="105">
        <f t="shared" si="2"/>
        <v>125.45</v>
      </c>
      <c r="M228" s="105">
        <f>+'TN 2026'!H28/J228*($N$91)+'TN 2026'!I28/J228*$N$93</f>
        <v>9.8964002690923554</v>
      </c>
      <c r="N228" s="106">
        <f t="shared" si="7"/>
        <v>135.34640026909236</v>
      </c>
    </row>
    <row r="229" spans="1:14">
      <c r="A229" s="15" t="str">
        <f>+'TN 2026'!Q29</f>
        <v>074</v>
      </c>
      <c r="B229" s="108"/>
      <c r="C229" s="101">
        <f>+'TN 2026'!G29</f>
        <v>1143.1600877335018</v>
      </c>
      <c r="D229" s="101">
        <f>+'TN 2026'!F29</f>
        <v>8.0811367444263897</v>
      </c>
      <c r="E229" s="102">
        <f t="shared" si="8"/>
        <v>214265.22493389918</v>
      </c>
      <c r="F229" s="102">
        <f t="shared" si="9"/>
        <v>727.92164140149976</v>
      </c>
      <c r="G229" s="101">
        <f t="shared" si="5"/>
        <v>0</v>
      </c>
      <c r="H229" s="103">
        <f>+J229*ecoparques!$D$14</f>
        <v>126867.4945114818</v>
      </c>
      <c r="I229" s="102">
        <f t="shared" si="6"/>
        <v>341860.6410867825</v>
      </c>
      <c r="J229" s="104">
        <f>+'TN 2026'!L29</f>
        <v>4050.4589999999998</v>
      </c>
      <c r="K229" s="103"/>
      <c r="L229" s="105">
        <f t="shared" si="2"/>
        <v>84.410000000000011</v>
      </c>
      <c r="M229" s="105">
        <f>+'TN 2026'!H29/J229*($N$91)+'TN 2026'!I29/J229*$N$93</f>
        <v>5.5810164818336583</v>
      </c>
      <c r="N229" s="106">
        <f t="shared" si="7"/>
        <v>89.991016481833668</v>
      </c>
    </row>
    <row r="230" spans="1:14">
      <c r="A230" s="15" t="str">
        <f>+'TN 2026'!Q30</f>
        <v>075</v>
      </c>
      <c r="B230" s="100"/>
      <c r="C230" s="101">
        <f>+'TN 2026'!G30</f>
        <v>412.08519009128486</v>
      </c>
      <c r="D230" s="101">
        <f>+'TN 2026'!F30</f>
        <v>2.9130799852215863</v>
      </c>
      <c r="E230" s="102">
        <f t="shared" si="8"/>
        <v>77238.111174698017</v>
      </c>
      <c r="F230" s="102">
        <f t="shared" si="9"/>
        <v>262.40045570802545</v>
      </c>
      <c r="G230" s="101">
        <f>+K131</f>
        <v>0</v>
      </c>
      <c r="H230" s="103">
        <f>+J230*ecoparques!$D$14</f>
        <v>29558.561793354027</v>
      </c>
      <c r="I230" s="102">
        <f t="shared" si="6"/>
        <v>107059.07342376007</v>
      </c>
      <c r="J230" s="104">
        <f>+'TN 2026'!L30</f>
        <v>943.70699999999999</v>
      </c>
      <c r="K230" s="103"/>
      <c r="L230" s="105">
        <f t="shared" si="2"/>
        <v>113.45</v>
      </c>
      <c r="M230" s="105">
        <f>+'TN 2026'!H30/J230*($N$91)+'TN 2026'!I30/J230*$N$93</f>
        <v>8.634959852550848</v>
      </c>
      <c r="N230" s="106">
        <f t="shared" si="7"/>
        <v>122.08495985255085</v>
      </c>
    </row>
    <row r="231" spans="1:14">
      <c r="A231" s="15" t="str">
        <f>+'TN 2026'!Q31</f>
        <v>077</v>
      </c>
      <c r="B231" s="108"/>
      <c r="C231" s="101">
        <f>+'TN 2026'!G31</f>
        <v>44.681807223858108</v>
      </c>
      <c r="D231" s="101">
        <f>+'TN 2026'!F31</f>
        <v>0.31586109245643357</v>
      </c>
      <c r="E231" s="102">
        <f t="shared" si="8"/>
        <v>8374.817821233235</v>
      </c>
      <c r="F231" s="102">
        <f t="shared" si="9"/>
        <v>28.451705762105401</v>
      </c>
      <c r="G231" s="101">
        <f t="shared" si="5"/>
        <v>0</v>
      </c>
      <c r="H231" s="103">
        <f>+J231*ecoparques!$D$14</f>
        <v>4754.6427866182421</v>
      </c>
      <c r="I231" s="102">
        <f t="shared" si="6"/>
        <v>13157.912313613582</v>
      </c>
      <c r="J231" s="104">
        <f>+'TN 2026'!L31</f>
        <v>151.80000000000001</v>
      </c>
      <c r="K231" s="103"/>
      <c r="L231" s="105">
        <f t="shared" si="2"/>
        <v>86.68</v>
      </c>
      <c r="M231" s="105">
        <f>+'TN 2026'!H31/J231*($N$91)+'TN 2026'!I31/J231*$N$93</f>
        <v>5.8206227361317673</v>
      </c>
      <c r="N231" s="106">
        <f t="shared" si="7"/>
        <v>92.500622736131774</v>
      </c>
    </row>
    <row r="232" spans="1:14">
      <c r="A232" s="15" t="str">
        <f>+'TN 2026'!Q32</f>
        <v>083</v>
      </c>
      <c r="B232" s="108"/>
      <c r="C232" s="101">
        <f>+'TN 2026'!G32</f>
        <v>4158.1953085989262</v>
      </c>
      <c r="D232" s="101">
        <f>+'TN 2026'!F32</f>
        <v>29.394784911922041</v>
      </c>
      <c r="E232" s="102">
        <f t="shared" si="8"/>
        <v>779380.47581988072</v>
      </c>
      <c r="F232" s="102">
        <f t="shared" si="9"/>
        <v>2647.7834441408313</v>
      </c>
      <c r="G232" s="101">
        <f t="shared" si="5"/>
        <v>0</v>
      </c>
      <c r="H232" s="103">
        <f>+J232*ecoparques!$D$14</f>
        <v>247102.98273605338</v>
      </c>
      <c r="I232" s="102">
        <f t="shared" si="6"/>
        <v>1029131.2420000749</v>
      </c>
      <c r="J232" s="104">
        <f>+'TN 2026'!L32</f>
        <v>7889.18</v>
      </c>
      <c r="K232" s="103">
        <v>0</v>
      </c>
      <c r="L232" s="105">
        <f t="shared" si="2"/>
        <v>130.44999999999999</v>
      </c>
      <c r="M232" s="105">
        <f>+'TN 2026'!H32/J232*($N$91)+'TN 2026'!I32/J232*$N$93</f>
        <v>10.422778572799144</v>
      </c>
      <c r="N232" s="106">
        <f t="shared" si="7"/>
        <v>140.87277857279912</v>
      </c>
    </row>
    <row r="233" spans="1:14">
      <c r="A233" s="15" t="str">
        <f>+'TN 2026'!Q33</f>
        <v>088</v>
      </c>
      <c r="B233" s="108"/>
      <c r="C233" s="101">
        <f>+'TN 2026'!G33</f>
        <v>27.44915078477241</v>
      </c>
      <c r="D233" s="101">
        <f>+'TN 2026'!F33</f>
        <v>0.19404136252685245</v>
      </c>
      <c r="E233" s="102">
        <f t="shared" si="8"/>
        <v>5144.8598759291808</v>
      </c>
      <c r="F233" s="102">
        <f t="shared" si="9"/>
        <v>17.478593863387939</v>
      </c>
      <c r="G233" s="101">
        <f t="shared" si="5"/>
        <v>0</v>
      </c>
      <c r="H233" s="103">
        <f>+J233*ecoparques!$D$14</f>
        <v>3149.6846111959403</v>
      </c>
      <c r="I233" s="102">
        <f t="shared" si="6"/>
        <v>8312.0230809885088</v>
      </c>
      <c r="J233" s="104">
        <f>+'TN 2026'!L33</f>
        <v>100.559</v>
      </c>
      <c r="K233" s="103"/>
      <c r="L233" s="105">
        <f t="shared" si="2"/>
        <v>82.660000000000011</v>
      </c>
      <c r="M233" s="105">
        <f>+'TN 2026'!H33/J233*($N$91)+'TN 2026'!I33/J233*$N$93</f>
        <v>5.3978207620062495</v>
      </c>
      <c r="N233" s="106">
        <f t="shared" si="7"/>
        <v>88.057820762006259</v>
      </c>
    </row>
    <row r="234" spans="1:14">
      <c r="A234" s="15" t="str">
        <f>+'TN 2026'!Q34</f>
        <v>092</v>
      </c>
      <c r="B234" s="108"/>
      <c r="C234" s="101">
        <f>+'TN 2026'!G34</f>
        <v>663.06656232840714</v>
      </c>
      <c r="D234" s="101">
        <f>+'TN 2026'!F34</f>
        <v>4.6872976220297673</v>
      </c>
      <c r="E234" s="102">
        <f t="shared" si="8"/>
        <v>124280.14907791626</v>
      </c>
      <c r="F234" s="102">
        <f t="shared" si="9"/>
        <v>422.21601820047437</v>
      </c>
      <c r="G234" s="101">
        <f t="shared" si="5"/>
        <v>0</v>
      </c>
      <c r="H234" s="103">
        <f>+J234*ecoparques!$D$14</f>
        <v>49596.436893746082</v>
      </c>
      <c r="I234" s="102">
        <f t="shared" si="6"/>
        <v>174298.80198986281</v>
      </c>
      <c r="J234" s="104">
        <f>+'TN 2026'!L34</f>
        <v>1583.45</v>
      </c>
      <c r="K234" s="103"/>
      <c r="L234" s="105">
        <f t="shared" si="2"/>
        <v>110.08</v>
      </c>
      <c r="M234" s="105">
        <f>+'TN 2026'!H34/J234*($N$91)+'TN 2026'!I34/J234*$N$93</f>
        <v>8.280627824440538</v>
      </c>
      <c r="N234" s="106">
        <f t="shared" si="7"/>
        <v>118.36062782444054</v>
      </c>
    </row>
    <row r="235" spans="1:14">
      <c r="A235" s="15" t="str">
        <f>+'TN 2026'!Q35</f>
        <v>093</v>
      </c>
      <c r="B235" s="107"/>
      <c r="C235" s="101">
        <f>+'TN 2026'!G35</f>
        <v>30.850404965496477</v>
      </c>
      <c r="D235" s="101">
        <f>+'TN 2026'!F35</f>
        <v>0.21808523917362946</v>
      </c>
      <c r="E235" s="102">
        <f t="shared" si="8"/>
        <v>5782.3650686927867</v>
      </c>
      <c r="F235" s="102">
        <f t="shared" si="9"/>
        <v>19.644385472649891</v>
      </c>
      <c r="G235" s="101">
        <f t="shared" si="5"/>
        <v>0</v>
      </c>
      <c r="H235" s="103">
        <f>+J235*ecoparques!$D$14</f>
        <v>3514.3011901091354</v>
      </c>
      <c r="I235" s="102">
        <f t="shared" si="6"/>
        <v>9316.310644274572</v>
      </c>
      <c r="J235" s="104">
        <f>+'TN 2026'!L35</f>
        <v>112.2</v>
      </c>
      <c r="K235" s="103"/>
      <c r="L235" s="105">
        <f t="shared" si="2"/>
        <v>83.04</v>
      </c>
      <c r="M235" s="105">
        <f>+'TN 2026'!H35/J235*($N$91)+'TN 2026'!I35/J235*$N$93</f>
        <v>5.4372400200588205</v>
      </c>
      <c r="N235" s="106">
        <f t="shared" si="7"/>
        <v>88.477240020058829</v>
      </c>
    </row>
    <row r="236" spans="1:14">
      <c r="A236" s="15" t="str">
        <f>+'TN 2026'!Q36</f>
        <v>098</v>
      </c>
      <c r="B236" s="108"/>
      <c r="C236" s="101">
        <f>+'TN 2026'!G36</f>
        <v>81.677383760227571</v>
      </c>
      <c r="D236" s="101">
        <f>+'TN 2026'!F36</f>
        <v>0.57738729175021986</v>
      </c>
      <c r="E236" s="102">
        <f t="shared" si="8"/>
        <v>15308.987071176844</v>
      </c>
      <c r="F236" s="102">
        <f t="shared" si="9"/>
        <v>52.009106939696956</v>
      </c>
      <c r="G236" s="101">
        <f t="shared" si="5"/>
        <v>0</v>
      </c>
      <c r="H236" s="103">
        <f>+J236*ecoparques!$D$14</f>
        <v>6803.0857263075231</v>
      </c>
      <c r="I236" s="102">
        <f t="shared" si="6"/>
        <v>22164.081904424063</v>
      </c>
      <c r="J236" s="104">
        <f>+'TN 2026'!L36</f>
        <v>217.2</v>
      </c>
      <c r="K236" s="103"/>
      <c r="L236" s="105">
        <f t="shared" si="2"/>
        <v>102.05000000000001</v>
      </c>
      <c r="M236" s="105">
        <f>+'TN 2026'!H36/J236*($N$91)+'TN 2026'!I36/J236*$N$93</f>
        <v>7.4362244503956587</v>
      </c>
      <c r="N236" s="106">
        <f t="shared" si="7"/>
        <v>109.48622445039567</v>
      </c>
    </row>
    <row r="237" spans="1:14">
      <c r="A237" s="15" t="str">
        <f>+'TN 2026'!Q37</f>
        <v>109</v>
      </c>
      <c r="B237" s="100"/>
      <c r="C237" s="101">
        <f>+'TN 2026'!G37</f>
        <v>900.12024357630617</v>
      </c>
      <c r="D237" s="101">
        <f>+'TN 2026'!F37</f>
        <v>6.3630587288858056</v>
      </c>
      <c r="E237" s="102">
        <f t="shared" si="8"/>
        <v>168711.68660184601</v>
      </c>
      <c r="F237" s="102">
        <f t="shared" si="9"/>
        <v>573.16294733649727</v>
      </c>
      <c r="G237" s="101">
        <f t="shared" si="5"/>
        <v>0</v>
      </c>
      <c r="H237" s="103">
        <f>+J237*ecoparques!$D$14</f>
        <v>56475.91638656587</v>
      </c>
      <c r="I237" s="102">
        <f t="shared" si="6"/>
        <v>225760.76593574838</v>
      </c>
      <c r="J237" s="104">
        <f>+'TN 2026'!L37</f>
        <v>1803.0889999999999</v>
      </c>
      <c r="K237" s="103"/>
      <c r="L237" s="105">
        <f t="shared" si="2"/>
        <v>125.21000000000001</v>
      </c>
      <c r="M237" s="105">
        <f>+'TN 2026'!H37/J237*($N$91)+'TN 2026'!I37/J237*$N$93</f>
        <v>9.8717433888218569</v>
      </c>
      <c r="N237" s="106">
        <f t="shared" si="7"/>
        <v>135.08174338882188</v>
      </c>
    </row>
    <row r="238" spans="1:14">
      <c r="A238" s="15" t="str">
        <f>+'TN 2026'!Q38</f>
        <v>099</v>
      </c>
      <c r="B238" s="107"/>
      <c r="C238" s="101">
        <f>+'TN 2026'!G38</f>
        <v>117.33632143310646</v>
      </c>
      <c r="D238" s="101">
        <f>+'TN 2026'!F38</f>
        <v>3</v>
      </c>
      <c r="E238" s="102">
        <f t="shared" si="8"/>
        <v>21992.626907248923</v>
      </c>
      <c r="F238" s="102">
        <f t="shared" si="9"/>
        <v>270.22991854588469</v>
      </c>
      <c r="G238" s="101">
        <f t="shared" si="5"/>
        <v>0</v>
      </c>
      <c r="H238" s="103">
        <f>+J238*ecoparques!$D$14</f>
        <v>23791.349230676529</v>
      </c>
      <c r="I238" s="102">
        <f t="shared" si="6"/>
        <v>46054.206056471332</v>
      </c>
      <c r="J238" s="104">
        <f>+'TN 2026'!L38</f>
        <v>759.57899999999995</v>
      </c>
      <c r="K238" s="103"/>
      <c r="L238" s="105">
        <f t="shared" si="2"/>
        <v>60.64</v>
      </c>
      <c r="M238" s="105">
        <f>+'TN 2026'!H38/J238*($N$91)+'TN 2026'!I38/J238*$N$93</f>
        <v>3.0744890434325365</v>
      </c>
      <c r="N238" s="106">
        <f t="shared" si="7"/>
        <v>63.714489043432536</v>
      </c>
    </row>
    <row r="239" spans="1:14">
      <c r="A239" s="15" t="str">
        <f>+'TN 2026'!Q39</f>
        <v>115</v>
      </c>
      <c r="B239" s="107"/>
      <c r="C239" s="101">
        <f>+'TN 2026'!G39</f>
        <v>2181.0893752222983</v>
      </c>
      <c r="D239" s="101">
        <f>+'TN 2026'!F39</f>
        <v>15.418384250916823</v>
      </c>
      <c r="E239" s="102">
        <f t="shared" si="8"/>
        <v>408806.7897030093</v>
      </c>
      <c r="F239" s="102">
        <f t="shared" si="9"/>
        <v>1388.8362400781348</v>
      </c>
      <c r="G239" s="101">
        <f t="shared" si="5"/>
        <v>0</v>
      </c>
      <c r="H239" s="103">
        <f>+J239*ecoparques!$D$14</f>
        <v>204914.67395800285</v>
      </c>
      <c r="I239" s="102">
        <f t="shared" si="6"/>
        <v>615110.29990109033</v>
      </c>
      <c r="J239" s="104">
        <f>+'TN 2026'!L39</f>
        <v>6542.2470000000003</v>
      </c>
      <c r="K239" s="103"/>
      <c r="L239" s="105">
        <f t="shared" si="2"/>
        <v>94.03</v>
      </c>
      <c r="M239" s="105">
        <f>+'TN 2026'!H39/J239*($N$91)+'TN 2026'!I39/J239*$N$93</f>
        <v>6.5926044291622157</v>
      </c>
      <c r="N239" s="106">
        <f t="shared" si="7"/>
        <v>100.62260442916222</v>
      </c>
    </row>
    <row r="240" spans="1:14">
      <c r="A240" s="15" t="str">
        <f>+'TN 2026'!Q40</f>
        <v>134</v>
      </c>
      <c r="B240" s="108"/>
      <c r="C240" s="101">
        <f>+'TN 2026'!G40</f>
        <v>895.17720322838102</v>
      </c>
      <c r="D240" s="101">
        <f>+'TN 2026'!F40</f>
        <v>6.3281157795881278</v>
      </c>
      <c r="E240" s="102">
        <f t="shared" si="8"/>
        <v>167785.20074621629</v>
      </c>
      <c r="F240" s="102">
        <f t="shared" si="9"/>
        <v>570.01540388900912</v>
      </c>
      <c r="G240" s="101">
        <f t="shared" si="5"/>
        <v>0</v>
      </c>
      <c r="H240" s="103">
        <f>+J240*ecoparques!$D$14</f>
        <v>56748.760216040384</v>
      </c>
      <c r="I240" s="102">
        <f t="shared" si="6"/>
        <v>225103.97636614568</v>
      </c>
      <c r="J240" s="104">
        <f>+'TN 2026'!L40</f>
        <v>1811.8</v>
      </c>
      <c r="K240" s="103"/>
      <c r="L240" s="105">
        <f t="shared" si="2"/>
        <v>124.25</v>
      </c>
      <c r="M240" s="105">
        <f>+'TN 2026'!H40/J240*($N$91)+'TN 2026'!I40/J240*$N$93</f>
        <v>9.7703304132374225</v>
      </c>
      <c r="N240" s="106">
        <f t="shared" si="7"/>
        <v>134.02033041323742</v>
      </c>
    </row>
    <row r="241" spans="1:14">
      <c r="A241" s="15" t="str">
        <f>+'TN 2026'!Q41</f>
        <v>191</v>
      </c>
      <c r="B241" s="100"/>
      <c r="C241" s="101">
        <f>+'TN 2026'!G41</f>
        <v>162.11476210707488</v>
      </c>
      <c r="D241" s="101">
        <f>+'TN 2026'!F41</f>
        <v>1.1460088354509061</v>
      </c>
      <c r="E241" s="102">
        <f t="shared" si="8"/>
        <v>30385.556966782111</v>
      </c>
      <c r="F241" s="102">
        <f t="shared" si="9"/>
        <v>103.22862475225418</v>
      </c>
      <c r="G241" s="101">
        <f t="shared" si="5"/>
        <v>0</v>
      </c>
      <c r="H241" s="103">
        <f>+J241*ecoparques!$D$14</f>
        <v>15896.355716593655</v>
      </c>
      <c r="I241" s="102">
        <f t="shared" si="6"/>
        <v>46385.141308128019</v>
      </c>
      <c r="J241" s="104">
        <f>+'TN 2026'!L41</f>
        <v>507.51799999999997</v>
      </c>
      <c r="K241" s="103"/>
      <c r="L241" s="105">
        <f t="shared" si="2"/>
        <v>91.4</v>
      </c>
      <c r="M241" s="105">
        <f>+'TN 2026'!H41/J241*($N$91)+'TN 2026'!I41/J241*$N$93</f>
        <v>6.3165742554079687</v>
      </c>
      <c r="N241" s="106">
        <f t="shared" si="7"/>
        <v>97.716574255407977</v>
      </c>
    </row>
    <row r="242" spans="1:14">
      <c r="A242" s="15" t="str">
        <f>+'TN 2026'!Q42</f>
        <v>213</v>
      </c>
      <c r="B242" s="108"/>
      <c r="C242" s="101">
        <f>+'TN 2026'!G42</f>
        <v>958.76046261157569</v>
      </c>
      <c r="D242" s="101">
        <f>+'TN 2026'!F42</f>
        <v>6.7775935204972502</v>
      </c>
      <c r="E242" s="102">
        <f t="shared" si="8"/>
        <v>179702.76287942706</v>
      </c>
      <c r="F242" s="102">
        <f t="shared" si="9"/>
        <v>610.50284832702926</v>
      </c>
      <c r="G242" s="101">
        <f t="shared" si="5"/>
        <v>0</v>
      </c>
      <c r="H242" s="103">
        <f>+J242*ecoparques!$D$14</f>
        <v>57069.808230288319</v>
      </c>
      <c r="I242" s="102">
        <f t="shared" si="6"/>
        <v>237383.07395804243</v>
      </c>
      <c r="J242" s="104">
        <f>+'TN 2026'!L42</f>
        <v>1822.05</v>
      </c>
      <c r="K242" s="103"/>
      <c r="L242" s="105">
        <f t="shared" si="2"/>
        <v>130.29</v>
      </c>
      <c r="M242" s="105">
        <f>+'TN 2026'!H42/J242*($N$91)+'TN 2026'!I42/J242*$N$93</f>
        <v>10.405436857858218</v>
      </c>
      <c r="N242" s="106">
        <f t="shared" si="7"/>
        <v>140.6954368578582</v>
      </c>
    </row>
    <row r="243" spans="1:14">
      <c r="A243" s="15" t="str">
        <f>+'TN 2026'!Q43</f>
        <v>120</v>
      </c>
      <c r="B243" s="108"/>
      <c r="C243" s="101">
        <f>+'TN 2026'!G43</f>
        <v>1676.4974472293413</v>
      </c>
      <c r="D243" s="101">
        <f>+'TN 2026'!F43</f>
        <v>11.851362961423161</v>
      </c>
      <c r="E243" s="102">
        <f t="shared" si="8"/>
        <v>314229.9197515758</v>
      </c>
      <c r="F243" s="102">
        <f t="shared" si="9"/>
        <v>1067.530949241032</v>
      </c>
      <c r="G243" s="101">
        <f t="shared" si="5"/>
        <v>0</v>
      </c>
      <c r="H243" s="103">
        <f>+J243*ecoparques!$D$14</f>
        <v>129207.51169162318</v>
      </c>
      <c r="I243" s="102">
        <f t="shared" si="6"/>
        <v>444504.96239244001</v>
      </c>
      <c r="J243" s="104">
        <f>+'TN 2026'!L43</f>
        <v>4125.1679999999997</v>
      </c>
      <c r="K243" s="103"/>
      <c r="L243" s="105">
        <f t="shared" si="2"/>
        <v>107.76</v>
      </c>
      <c r="M243" s="105">
        <f>+'TN 2026'!H43/J243*($N$91)+'TN 2026'!I43/J243*$N$93</f>
        <v>8.0365888179516993</v>
      </c>
      <c r="N243" s="106">
        <f t="shared" si="7"/>
        <v>115.7965888179517</v>
      </c>
    </row>
    <row r="244" spans="1:14">
      <c r="A244" s="15" t="str">
        <f>+'TN 2026'!Q44</f>
        <v>123</v>
      </c>
      <c r="B244" s="107"/>
      <c r="C244" s="101">
        <f>+'TN 2026'!G44</f>
        <v>50.248482701724974</v>
      </c>
      <c r="D244" s="101">
        <f>+'TN 2026'!F44</f>
        <v>0.35521259381760989</v>
      </c>
      <c r="E244" s="102">
        <f t="shared" si="8"/>
        <v>9418.1930984124556</v>
      </c>
      <c r="F244" s="102">
        <f t="shared" si="9"/>
        <v>31.996356764601718</v>
      </c>
      <c r="G244" s="101">
        <f t="shared" si="5"/>
        <v>0</v>
      </c>
      <c r="H244" s="103">
        <f>+J244*ecoparques!$D$14</f>
        <v>3158.7992426248329</v>
      </c>
      <c r="I244" s="102">
        <f t="shared" si="6"/>
        <v>12608.988697801889</v>
      </c>
      <c r="J244" s="104">
        <f>+'TN 2026'!L44</f>
        <v>100.85</v>
      </c>
      <c r="K244" s="103"/>
      <c r="L244" s="105">
        <f t="shared" si="2"/>
        <v>125.03</v>
      </c>
      <c r="M244" s="105">
        <f>+'TN 2026'!H44/J244*($N$91)+'TN 2026'!I44/J244*$N$93</f>
        <v>9.8527517915120324</v>
      </c>
      <c r="N244" s="106">
        <f t="shared" si="7"/>
        <v>134.88275179151202</v>
      </c>
    </row>
    <row r="245" spans="1:14">
      <c r="A245" s="15" t="str">
        <f>+'TN 2026'!Q45</f>
        <v>126</v>
      </c>
      <c r="B245" s="108"/>
      <c r="C245" s="101">
        <f>+'TN 2026'!G45</f>
        <v>273.5564449018562</v>
      </c>
      <c r="D245" s="101">
        <f>+'TN 2026'!F45</f>
        <v>1.9338035523563513</v>
      </c>
      <c r="E245" s="102">
        <f t="shared" si="8"/>
        <v>51273.337678561664</v>
      </c>
      <c r="F245" s="102">
        <f t="shared" si="9"/>
        <v>174.19052547899977</v>
      </c>
      <c r="G245" s="101">
        <f t="shared" si="5"/>
        <v>0</v>
      </c>
      <c r="H245" s="103">
        <f>+J245*ecoparques!$D$14</f>
        <v>24166.114059015708</v>
      </c>
      <c r="I245" s="102">
        <f t="shared" si="6"/>
        <v>75613.642263056361</v>
      </c>
      <c r="J245" s="104">
        <f>+'TN 2026'!L45</f>
        <v>771.54399999999998</v>
      </c>
      <c r="K245" s="103"/>
      <c r="L245" s="105">
        <f>ROUNDUP((I245)/J245,2)</f>
        <v>98.01</v>
      </c>
      <c r="M245" s="105">
        <f>+'TN 2026'!H45/J245*($N$91)+'TN 2026'!I45/J245*$N$93</f>
        <v>7.011270861750913</v>
      </c>
      <c r="N245" s="106">
        <f t="shared" si="7"/>
        <v>105.02127086175092</v>
      </c>
    </row>
    <row r="246" spans="1:14">
      <c r="A246" s="15" t="str">
        <f>+'TN 2026'!Q46</f>
        <v>133</v>
      </c>
      <c r="B246" s="108"/>
      <c r="C246" s="101">
        <f>+'TN 2026'!G46</f>
        <v>32876.919908001393</v>
      </c>
      <c r="D246" s="101">
        <f>+'TN 2026'!F46</f>
        <v>232.41091808836021</v>
      </c>
      <c r="E246" s="102">
        <f t="shared" si="8"/>
        <v>6162199.6033716686</v>
      </c>
      <c r="F246" s="102">
        <f t="shared" si="9"/>
        <v>20934.794488063952</v>
      </c>
      <c r="G246" s="101">
        <f t="shared" si="5"/>
        <v>0</v>
      </c>
      <c r="H246" s="103">
        <f>+J246*ecoparques!$D$14</f>
        <v>2085946.3905563969</v>
      </c>
      <c r="I246" s="102">
        <f t="shared" si="6"/>
        <v>8269080.7884161295</v>
      </c>
      <c r="J246" s="104">
        <f>+'TN 2026'!L46</f>
        <v>66597.361000000004</v>
      </c>
      <c r="K246" s="103"/>
      <c r="L246" s="105">
        <f t="shared" si="2"/>
        <v>124.17</v>
      </c>
      <c r="M246" s="105">
        <f>+'TN 2026'!H46/J246*($N$91)+'TN 2026'!I46/J246*$N$93</f>
        <v>9.762130208436858</v>
      </c>
      <c r="N246" s="106">
        <f t="shared" si="7"/>
        <v>133.93213020843686</v>
      </c>
    </row>
    <row r="247" spans="1:14">
      <c r="A247" s="15" t="str">
        <f>+'TN 2026'!Q47</f>
        <v>140</v>
      </c>
      <c r="B247" s="108"/>
      <c r="C247" s="101">
        <f>+'TN 2026'!G47</f>
        <v>142.72330171627348</v>
      </c>
      <c r="D247" s="101">
        <f>+'TN 2026'!F47</f>
        <v>1.0089282596210702</v>
      </c>
      <c r="E247" s="102">
        <f t="shared" si="8"/>
        <v>26750.969241917042</v>
      </c>
      <c r="F247" s="102">
        <f t="shared" si="9"/>
        <v>90.880867138681012</v>
      </c>
      <c r="G247" s="101">
        <f t="shared" si="5"/>
        <v>0</v>
      </c>
      <c r="H247" s="103">
        <f>+J247*ecoparques!$D$14</f>
        <v>10633.736667041456</v>
      </c>
      <c r="I247" s="102">
        <f>E247+F247+G247+H247-K247</f>
        <v>37475.586776097174</v>
      </c>
      <c r="J247" s="104">
        <f>+'TN 2026'!L47</f>
        <v>339.5</v>
      </c>
      <c r="K247" s="103"/>
      <c r="L247" s="105">
        <f t="shared" si="2"/>
        <v>110.39</v>
      </c>
      <c r="M247" s="105">
        <f>+'TN 2026'!H47/J247*($N$91)+'TN 2026'!I47/J247*$N$93</f>
        <v>8.3131496354368117</v>
      </c>
      <c r="N247" s="106">
        <f t="shared" si="7"/>
        <v>118.70314963543682</v>
      </c>
    </row>
    <row r="248" spans="1:14">
      <c r="A248" s="15" t="str">
        <f>+'TN 2026'!Q48</f>
        <v>142</v>
      </c>
      <c r="B248" s="107"/>
      <c r="C248" s="101">
        <f>+'TN 2026'!G48</f>
        <v>261.53325019410761</v>
      </c>
      <c r="D248" s="101">
        <f>+'TN 2026'!F48</f>
        <v>1.8488101366652756</v>
      </c>
      <c r="E248" s="102">
        <f t="shared" si="8"/>
        <v>49019.801584953413</v>
      </c>
      <c r="F248" s="102">
        <f t="shared" si="9"/>
        <v>166.53460421262113</v>
      </c>
      <c r="G248" s="101">
        <f t="shared" si="5"/>
        <v>0</v>
      </c>
      <c r="H248" s="103">
        <f>+J248*ecoparques!$D$14</f>
        <v>34049.88256477398</v>
      </c>
      <c r="I248" s="102">
        <f t="shared" si="6"/>
        <v>83236.218753940018</v>
      </c>
      <c r="J248" s="104">
        <f>+'TN 2026'!L48</f>
        <v>1087.0999999999999</v>
      </c>
      <c r="K248" s="103"/>
      <c r="L248" s="105">
        <f t="shared" si="2"/>
        <v>76.570000000000007</v>
      </c>
      <c r="M248" s="105">
        <f>+'TN 2026'!H48/J248*($N$91)+'TN 2026'!I48/J248*$N$93</f>
        <v>4.7573807147441709</v>
      </c>
      <c r="N248" s="106">
        <f t="shared" si="7"/>
        <v>81.32738071474418</v>
      </c>
    </row>
    <row r="249" spans="1:14">
      <c r="A249" s="15" t="str">
        <f>+'TN 2026'!Q49</f>
        <v>144</v>
      </c>
      <c r="B249" s="107"/>
      <c r="C249" s="101">
        <f>+'TN 2026'!G49</f>
        <v>369.24771116279567</v>
      </c>
      <c r="D249" s="101">
        <f>+'TN 2026'!F49</f>
        <v>5</v>
      </c>
      <c r="E249" s="102">
        <f t="shared" si="8"/>
        <v>69208.980209837348</v>
      </c>
      <c r="F249" s="102">
        <f t="shared" si="9"/>
        <v>450.38319757647452</v>
      </c>
      <c r="G249" s="101">
        <f t="shared" si="5"/>
        <v>0</v>
      </c>
      <c r="H249" s="103">
        <f>+J249*ecoparques!$D$14</f>
        <v>31398.871654538179</v>
      </c>
      <c r="I249" s="102">
        <f t="shared" si="6"/>
        <v>101058.235061952</v>
      </c>
      <c r="J249" s="104">
        <f>+'TN 2026'!L49</f>
        <v>1002.462</v>
      </c>
      <c r="K249" s="103"/>
      <c r="L249" s="105">
        <f t="shared" si="2"/>
        <v>100.82000000000001</v>
      </c>
      <c r="M249" s="105">
        <f>+'TN 2026'!H49/J249*($N$91)+'TN 2026'!I49/J249*$N$93</f>
        <v>7.3003400620012924</v>
      </c>
      <c r="N249" s="106">
        <f t="shared" si="7"/>
        <v>108.1203400620013</v>
      </c>
    </row>
    <row r="250" spans="1:14">
      <c r="A250" s="15" t="str">
        <f>+'TN 2026'!Q50</f>
        <v>146</v>
      </c>
      <c r="B250" s="108"/>
      <c r="C250" s="101">
        <f>+'TN 2026'!G50</f>
        <v>293.36095407588533</v>
      </c>
      <c r="D250" s="101">
        <f>+'TN 2026'!F50</f>
        <v>5</v>
      </c>
      <c r="E250" s="102">
        <f t="shared" si="8"/>
        <v>54985.344123163908</v>
      </c>
      <c r="F250" s="102">
        <f t="shared" si="9"/>
        <v>450.38319757647452</v>
      </c>
      <c r="G250" s="101">
        <f t="shared" si="5"/>
        <v>0</v>
      </c>
      <c r="H250" s="103">
        <f>+J250*ecoparques!$D$14</f>
        <v>28729.28694211223</v>
      </c>
      <c r="I250" s="102">
        <f t="shared" si="6"/>
        <v>84165.014262852608</v>
      </c>
      <c r="J250" s="104">
        <f>+'TN 2026'!L50</f>
        <v>917.23099999999999</v>
      </c>
      <c r="K250" s="103">
        <v>0</v>
      </c>
      <c r="L250" s="105">
        <f t="shared" si="2"/>
        <v>91.76</v>
      </c>
      <c r="M250" s="105">
        <f>+'TN 2026'!H50/J250*($N$91)+'TN 2026'!I50/J250*$N$93</f>
        <v>6.3466964463911859</v>
      </c>
      <c r="N250" s="106">
        <f t="shared" si="7"/>
        <v>98.106696446391197</v>
      </c>
    </row>
    <row r="251" spans="1:14" ht="75" customHeight="1">
      <c r="A251" s="15"/>
      <c r="B251" s="109"/>
      <c r="C251" s="95" t="str">
        <f t="shared" ref="C251:N251" si="10">C203</f>
        <v>Ti RUM</v>
      </c>
      <c r="D251" s="95" t="str">
        <f t="shared" si="10"/>
        <v>Ti FORS</v>
      </c>
      <c r="E251" s="95" t="str">
        <f t="shared" si="10"/>
        <v>CRUMi</v>
      </c>
      <c r="F251" s="95" t="str">
        <f t="shared" si="10"/>
        <v>CFORSi</v>
      </c>
      <c r="G251" s="95" t="str">
        <f t="shared" si="10"/>
        <v>B SERVICIOS DIFERENCIADOS</v>
      </c>
      <c r="H251" s="95" t="str">
        <f t="shared" si="10"/>
        <v>Liquidación coste servicio ECOPARQUES (C)</v>
      </c>
      <c r="I251" s="95" t="str">
        <f t="shared" si="10"/>
        <v>Liquidación coste total servicio  (CRUMi+CFORSi+C) - GP</v>
      </c>
      <c r="J251" s="110" t="str">
        <f t="shared" si="10"/>
        <v>Unidades Tributarias 2025 (NUPi)</v>
      </c>
      <c r="K251" s="111" t="str">
        <f t="shared" si="10"/>
        <v>GRANDES PRODUCTORES GP (€)</v>
      </c>
      <c r="L251" s="98" t="str">
        <f t="shared" si="10"/>
        <v xml:space="preserve"> (PPVi) SIN IMPUESTO ELIMINACIÓN EN VERTEDEROS</v>
      </c>
      <c r="M251" s="98" t="str">
        <f t="shared" si="10"/>
        <v>IMPUESTO ELIMINACIÓN EN VERTEDEROS          (€)</v>
      </c>
      <c r="N251" s="112" t="str">
        <f t="shared" si="10"/>
        <v>TOTAL  (PPVi) CON IMPUESTO ELIMINACIÓN EN VERTEDEROS</v>
      </c>
    </row>
    <row r="252" spans="1:14">
      <c r="A252" s="15" t="str">
        <f>+'TN 2026'!Q51</f>
        <v>130</v>
      </c>
      <c r="B252" s="107"/>
      <c r="C252" s="101">
        <f>+'TN 2026'!G51</f>
        <v>775.64181290312342</v>
      </c>
      <c r="D252" s="101">
        <f>+'TN 2026'!F51</f>
        <v>5.4831056664971394</v>
      </c>
      <c r="E252" s="102">
        <f t="shared" si="8"/>
        <v>145380.39710547408</v>
      </c>
      <c r="F252" s="102">
        <f t="shared" ref="F252" si="11">D252*$M$84</f>
        <v>493.89973254533362</v>
      </c>
      <c r="G252" s="101">
        <f t="shared" si="5"/>
        <v>0</v>
      </c>
      <c r="H252" s="103">
        <f>+J252*ecoparques!$D$14</f>
        <v>61376.424597803882</v>
      </c>
      <c r="I252" s="102">
        <f t="shared" si="6"/>
        <v>207250.7214358233</v>
      </c>
      <c r="J252" s="104">
        <f>+'TN 2026'!L51</f>
        <v>1959.546</v>
      </c>
      <c r="K252" s="103"/>
      <c r="L252" s="105">
        <f t="shared" ref="L252:L297" si="12">ROUNDUP((I252)/J252,2)</f>
        <v>105.77000000000001</v>
      </c>
      <c r="M252" s="105">
        <f>+'TN 2026'!H51/J252*($N$91)+'TN 2026'!I51/J252*$N$93</f>
        <v>7.8273768284004293</v>
      </c>
      <c r="N252" s="106">
        <f t="shared" ref="N252:N297" si="13">L252+M252</f>
        <v>113.59737682840044</v>
      </c>
    </row>
    <row r="253" spans="1:14">
      <c r="A253" s="15" t="str">
        <f>+'TN 2026'!Q52</f>
        <v>129</v>
      </c>
      <c r="B253" s="108"/>
      <c r="C253" s="101">
        <f>+'TN 2026'!G52</f>
        <v>1081.2150092969591</v>
      </c>
      <c r="D253" s="101">
        <f>+'TN 2026'!F52</f>
        <v>7.6432395025077957</v>
      </c>
      <c r="E253" s="102">
        <f t="shared" ref="E253:E297" si="14">$N$84*C253</f>
        <v>202654.71096724289</v>
      </c>
      <c r="F253" s="102">
        <f t="shared" ref="F253:F297" si="15">D253*$M$84</f>
        <v>688.47732939645664</v>
      </c>
      <c r="G253" s="101">
        <f t="shared" si="5"/>
        <v>0</v>
      </c>
      <c r="H253" s="103">
        <f>+J253*ecoparques!$D$14</f>
        <v>82574.332308506826</v>
      </c>
      <c r="I253" s="102">
        <f t="shared" si="6"/>
        <v>285917.52060514619</v>
      </c>
      <c r="J253" s="104">
        <f>+'TN 2026'!L52</f>
        <v>2636.3249999999998</v>
      </c>
      <c r="K253" s="103"/>
      <c r="L253" s="105">
        <f t="shared" si="12"/>
        <v>108.46000000000001</v>
      </c>
      <c r="M253" s="105">
        <f>+'TN 2026'!H52/J253*($N$91)+'TN 2026'!I52/J253*$N$93</f>
        <v>8.1100514672978914</v>
      </c>
      <c r="N253" s="106">
        <f t="shared" si="13"/>
        <v>116.5700514672979</v>
      </c>
    </row>
    <row r="254" spans="1:14">
      <c r="A254" s="15" t="str">
        <f>+'TN 2026'!Q53</f>
        <v>139</v>
      </c>
      <c r="B254" s="108"/>
      <c r="C254" s="101">
        <f>+'TN 2026'!G53</f>
        <v>99.245208710687933</v>
      </c>
      <c r="D254" s="101">
        <f>+'TN 2026'!F53</f>
        <v>0.70157636837227944</v>
      </c>
      <c r="E254" s="102">
        <f t="shared" si="14"/>
        <v>18601.766450898569</v>
      </c>
      <c r="F254" s="102">
        <f t="shared" si="15"/>
        <v>63.195641626319556</v>
      </c>
      <c r="G254" s="101">
        <f t="shared" si="5"/>
        <v>0</v>
      </c>
      <c r="H254" s="103">
        <f>+J254*ecoparques!$D$14</f>
        <v>6353.6185063604107</v>
      </c>
      <c r="I254" s="102">
        <f t="shared" si="6"/>
        <v>25018.580598885299</v>
      </c>
      <c r="J254" s="104">
        <f>+'TN 2026'!L53</f>
        <v>202.85</v>
      </c>
      <c r="K254" s="103"/>
      <c r="L254" s="105">
        <f t="shared" si="12"/>
        <v>123.34</v>
      </c>
      <c r="M254" s="105">
        <f>+'TN 2026'!H53/J254*($N$91)+'TN 2026'!I53/J254*$N$93</f>
        <v>9.6748675854708956</v>
      </c>
      <c r="N254" s="106">
        <f t="shared" si="13"/>
        <v>133.01486758547091</v>
      </c>
    </row>
    <row r="255" spans="1:14">
      <c r="A255" s="15" t="str">
        <f>+'TN 2026'!Q54</f>
        <v>159</v>
      </c>
      <c r="B255" s="108"/>
      <c r="C255" s="101">
        <f>+'TN 2026'!G54</f>
        <v>1186.8005706676036</v>
      </c>
      <c r="D255" s="101">
        <f>+'TN 2026'!F54</f>
        <v>8.3896365896952183</v>
      </c>
      <c r="E255" s="102">
        <f t="shared" si="14"/>
        <v>222444.86485698156</v>
      </c>
      <c r="F255" s="102">
        <f t="shared" si="15"/>
        <v>755.71027075430425</v>
      </c>
      <c r="G255" s="101">
        <f t="shared" si="5"/>
        <v>0</v>
      </c>
      <c r="H255" s="103">
        <f>+J255*ecoparques!$D$14</f>
        <v>69288.425826202525</v>
      </c>
      <c r="I255" s="102">
        <f t="shared" si="6"/>
        <v>292489.00095393835</v>
      </c>
      <c r="J255" s="104">
        <f>+'TN 2026'!L54</f>
        <v>2212.15</v>
      </c>
      <c r="K255" s="103"/>
      <c r="L255" s="105">
        <f t="shared" si="12"/>
        <v>132.22</v>
      </c>
      <c r="M255" s="105">
        <f>+'TN 2026'!H54/J255*($N$91)+'TN 2026'!I54/J255*$N$93</f>
        <v>10.608980885556148</v>
      </c>
      <c r="N255" s="106">
        <f t="shared" si="13"/>
        <v>142.82898088555615</v>
      </c>
    </row>
    <row r="256" spans="1:14">
      <c r="A256" s="15" t="str">
        <f>+'TN 2026'!Q55</f>
        <v>202</v>
      </c>
      <c r="B256" s="108"/>
      <c r="C256" s="101">
        <f>+'TN 2026'!G55</f>
        <v>735.25035642046589</v>
      </c>
      <c r="D256" s="101">
        <f>+'TN 2026'!F55</f>
        <v>5.1975735816689674</v>
      </c>
      <c r="E256" s="102">
        <f t="shared" si="14"/>
        <v>137809.72996836004</v>
      </c>
      <c r="F256" s="102">
        <f t="shared" si="15"/>
        <v>468.17996187021578</v>
      </c>
      <c r="G256" s="101">
        <f t="shared" si="5"/>
        <v>0</v>
      </c>
      <c r="H256" s="103">
        <f>+J256*ecoparques!$D$14</f>
        <v>49840.746602149389</v>
      </c>
      <c r="I256" s="102">
        <f t="shared" si="6"/>
        <v>188118.65653237965</v>
      </c>
      <c r="J256" s="104">
        <f>+'TN 2026'!L55</f>
        <v>1591.25</v>
      </c>
      <c r="K256" s="103"/>
      <c r="L256" s="105">
        <f t="shared" si="12"/>
        <v>118.23</v>
      </c>
      <c r="M256" s="105">
        <f>+'TN 2026'!H55/J256*($N$91)+'TN 2026'!I55/J256*$N$93</f>
        <v>9.137077729506613</v>
      </c>
      <c r="N256" s="106">
        <f t="shared" si="13"/>
        <v>127.36707772950662</v>
      </c>
    </row>
    <row r="257" spans="1:14">
      <c r="A257" s="15" t="str">
        <f>+'TN 2026'!Q56</f>
        <v>020</v>
      </c>
      <c r="B257" s="107"/>
      <c r="C257" s="101">
        <f>+'TN 2026'!G56</f>
        <v>1779.7217780274964</v>
      </c>
      <c r="D257" s="101">
        <f>+'TN 2026'!F56</f>
        <v>12.581068224476626</v>
      </c>
      <c r="E257" s="102">
        <f t="shared" si="14"/>
        <v>333577.50255685824</v>
      </c>
      <c r="F257" s="102">
        <f t="shared" si="15"/>
        <v>1133.2603471735124</v>
      </c>
      <c r="G257" s="101">
        <f t="shared" si="5"/>
        <v>0</v>
      </c>
      <c r="H257" s="103">
        <f>+J257*ecoparques!$D$14</f>
        <v>106435.5917018957</v>
      </c>
      <c r="I257" s="102">
        <f t="shared" si="6"/>
        <v>441146.35460592742</v>
      </c>
      <c r="J257" s="104">
        <f>+'TN 2026'!L56</f>
        <v>3398.136</v>
      </c>
      <c r="K257" s="103">
        <v>0</v>
      </c>
      <c r="L257" s="105">
        <f t="shared" si="12"/>
        <v>129.82999999999998</v>
      </c>
      <c r="M257" s="105">
        <f>+'TN 2026'!H56/J257*($N$91)+'TN 2026'!I56/J257*$N$93</f>
        <v>10.356710844686194</v>
      </c>
      <c r="N257" s="106">
        <f t="shared" si="13"/>
        <v>140.18671084468619</v>
      </c>
    </row>
    <row r="258" spans="1:14">
      <c r="A258" s="15" t="str">
        <f>+'TN 2026'!Q57</f>
        <v>037</v>
      </c>
      <c r="B258" s="108"/>
      <c r="C258" s="101">
        <f>+'TN 2026'!G57</f>
        <v>648.44286857588281</v>
      </c>
      <c r="D258" s="101">
        <f>+'TN 2026'!F57</f>
        <v>4.5839209644724992</v>
      </c>
      <c r="E258" s="102">
        <f t="shared" si="14"/>
        <v>121539.19523875498</v>
      </c>
      <c r="F258" s="102">
        <f t="shared" si="15"/>
        <v>412.90419628339225</v>
      </c>
      <c r="G258" s="101">
        <f t="shared" si="5"/>
        <v>0</v>
      </c>
      <c r="H258" s="103">
        <f>+J258*ecoparques!$D$14</f>
        <v>35768.225502301408</v>
      </c>
      <c r="I258" s="102">
        <f t="shared" si="6"/>
        <v>157720.32493733978</v>
      </c>
      <c r="J258" s="104">
        <f>+'TN 2026'!L57</f>
        <v>1141.961</v>
      </c>
      <c r="K258" s="103"/>
      <c r="L258" s="105">
        <f t="shared" si="12"/>
        <v>138.12</v>
      </c>
      <c r="M258" s="105">
        <f>+'TN 2026'!H57/J258*($N$91)+'TN 2026'!I57/J258*$N$93</f>
        <v>11.228737741186571</v>
      </c>
      <c r="N258" s="106">
        <f t="shared" si="13"/>
        <v>149.34873774118657</v>
      </c>
    </row>
    <row r="259" spans="1:14">
      <c r="A259" s="15" t="str">
        <f>+'TN 2026'!Q58</f>
        <v>156</v>
      </c>
      <c r="B259" s="107"/>
      <c r="C259" s="101">
        <f>+'TN 2026'!G58</f>
        <v>410.07843843658992</v>
      </c>
      <c r="D259" s="101">
        <f>+'TN 2026'!F58</f>
        <v>2.8988940153756251</v>
      </c>
      <c r="E259" s="102">
        <f t="shared" si="14"/>
        <v>76861.980920245041</v>
      </c>
      <c r="F259" s="102">
        <f t="shared" si="15"/>
        <v>261.12263121603593</v>
      </c>
      <c r="G259" s="101">
        <f t="shared" si="5"/>
        <v>0</v>
      </c>
      <c r="H259" s="103">
        <f>+J259*ecoparques!$D$14</f>
        <v>23245.849502272427</v>
      </c>
      <c r="I259" s="102">
        <f t="shared" si="6"/>
        <v>100368.95305373349</v>
      </c>
      <c r="J259" s="104">
        <f>+'TN 2026'!L58</f>
        <v>742.16300000000001</v>
      </c>
      <c r="K259" s="103"/>
      <c r="L259" s="105">
        <f t="shared" si="12"/>
        <v>135.23999999999998</v>
      </c>
      <c r="M259" s="105">
        <f>+'TN 2026'!H58/J259*($N$91)+'TN 2026'!I58/J259*$N$93</f>
        <v>10.926425989733911</v>
      </c>
      <c r="N259" s="106">
        <f t="shared" si="13"/>
        <v>146.16642598973388</v>
      </c>
    </row>
    <row r="260" spans="1:14">
      <c r="A260" s="15" t="str">
        <f>+'TN 2026'!Q59</f>
        <v>155</v>
      </c>
      <c r="B260" s="108"/>
      <c r="C260" s="101">
        <f>+'TN 2026'!G59</f>
        <v>172.46807060723995</v>
      </c>
      <c r="D260" s="101">
        <f>+'TN 2026'!F59</f>
        <v>1.2191976238321975</v>
      </c>
      <c r="E260" s="102">
        <f t="shared" si="14"/>
        <v>32326.10230107222</v>
      </c>
      <c r="F260" s="102">
        <f t="shared" si="15"/>
        <v>109.82122485983697</v>
      </c>
      <c r="G260" s="101">
        <f t="shared" si="5"/>
        <v>0</v>
      </c>
      <c r="H260" s="103">
        <f>+J260*ecoparques!$D$14</f>
        <v>17413.33107523328</v>
      </c>
      <c r="I260" s="102">
        <f t="shared" si="6"/>
        <v>49849.254601165332</v>
      </c>
      <c r="J260" s="104">
        <f>+'TN 2026'!L59</f>
        <v>555.95000000000005</v>
      </c>
      <c r="K260" s="103"/>
      <c r="L260" s="105">
        <f t="shared" si="12"/>
        <v>89.67</v>
      </c>
      <c r="M260" s="105">
        <f>+'TN 2026'!H59/J260*($N$91)+'TN 2026'!I59/J260*$N$93</f>
        <v>6.1345606262315258</v>
      </c>
      <c r="N260" s="106">
        <f t="shared" si="13"/>
        <v>95.804560626231535</v>
      </c>
    </row>
    <row r="261" spans="1:14">
      <c r="A261" s="15" t="str">
        <f>+'TN 2026'!Q60</f>
        <v>153</v>
      </c>
      <c r="B261" s="108"/>
      <c r="C261" s="101">
        <f>+'TN 2026'!G60</f>
        <v>253.83979192119676</v>
      </c>
      <c r="D261" s="101">
        <f>+'TN 2026'!F60</f>
        <v>1.7944241508282464</v>
      </c>
      <c r="E261" s="102">
        <f t="shared" si="14"/>
        <v>47577.798330069745</v>
      </c>
      <c r="F261" s="102">
        <f t="shared" si="15"/>
        <v>161.6356973716951</v>
      </c>
      <c r="G261" s="101">
        <f t="shared" si="5"/>
        <v>0</v>
      </c>
      <c r="H261" s="103">
        <f>+J261*ecoparques!$D$14</f>
        <v>15646.78395293243</v>
      </c>
      <c r="I261" s="102">
        <f t="shared" si="6"/>
        <v>63386.217980373869</v>
      </c>
      <c r="J261" s="104">
        <f>+'TN 2026'!L60</f>
        <v>499.55</v>
      </c>
      <c r="K261" s="103"/>
      <c r="L261" s="105">
        <f t="shared" si="12"/>
        <v>126.89</v>
      </c>
      <c r="M261" s="105">
        <f>+'TN 2026'!H60/J261*($N$91)+'TN 2026'!I60/J261*$N$93</f>
        <v>10.048268520483397</v>
      </c>
      <c r="N261" s="106">
        <f t="shared" si="13"/>
        <v>136.9382685204834</v>
      </c>
    </row>
    <row r="262" spans="1:14">
      <c r="A262" s="15" t="str">
        <f>+'TN 2026'!Q61</f>
        <v>152</v>
      </c>
      <c r="B262" s="108"/>
      <c r="C262" s="101">
        <f>+'TN 2026'!G61</f>
        <v>663.92582785194281</v>
      </c>
      <c r="D262" s="101">
        <f>+'TN 2026'!F61</f>
        <v>4.6933718738077754</v>
      </c>
      <c r="E262" s="102">
        <f t="shared" si="14"/>
        <v>124441.20326678612</v>
      </c>
      <c r="F262" s="102">
        <f t="shared" si="15"/>
        <v>422.76316638820714</v>
      </c>
      <c r="G262" s="101">
        <f t="shared" si="5"/>
        <v>0</v>
      </c>
      <c r="H262" s="103">
        <f>+J262*ecoparques!$D$14</f>
        <v>43881.782240132787</v>
      </c>
      <c r="I262" s="102">
        <f t="shared" si="6"/>
        <v>168745.74867330713</v>
      </c>
      <c r="J262" s="104">
        <f>+'TN 2026'!L61</f>
        <v>1401</v>
      </c>
      <c r="K262" s="103"/>
      <c r="L262" s="105">
        <f t="shared" si="12"/>
        <v>120.45</v>
      </c>
      <c r="M262" s="105">
        <f>+'TN 2026'!H61/J262*($N$91)+'TN 2026'!I61/J262*$N$93</f>
        <v>9.3711291003552937</v>
      </c>
      <c r="N262" s="106">
        <f t="shared" si="13"/>
        <v>129.82112910035531</v>
      </c>
    </row>
    <row r="263" spans="1:14">
      <c r="A263" s="15" t="str">
        <f>+'TN 2026'!Q62</f>
        <v>185</v>
      </c>
      <c r="B263" s="107"/>
      <c r="C263" s="101">
        <f>+'TN 2026'!G62</f>
        <v>2667.8768476733371</v>
      </c>
      <c r="D263" s="101">
        <f>+'TN 2026'!F62</f>
        <v>18.859543693554397</v>
      </c>
      <c r="E263" s="102">
        <f t="shared" si="14"/>
        <v>500046.52803792688</v>
      </c>
      <c r="F263" s="102">
        <f t="shared" si="15"/>
        <v>1698.8043187072526</v>
      </c>
      <c r="G263" s="101">
        <f t="shared" si="5"/>
        <v>0</v>
      </c>
      <c r="H263" s="103">
        <f>+J263*ecoparques!$D$14</f>
        <v>190958.66979600876</v>
      </c>
      <c r="I263" s="102">
        <f t="shared" si="6"/>
        <v>692704.00215264293</v>
      </c>
      <c r="J263" s="104">
        <f>+'TN 2026'!L62</f>
        <v>6096.6779999999999</v>
      </c>
      <c r="K263" s="103"/>
      <c r="L263" s="105">
        <f t="shared" si="12"/>
        <v>113.62</v>
      </c>
      <c r="M263" s="105">
        <f>+'TN 2026'!H62/J263*($N$91)+'TN 2026'!I62/J263*$N$93</f>
        <v>8.6533249471902316</v>
      </c>
      <c r="N263" s="106">
        <f t="shared" si="13"/>
        <v>122.27332494719023</v>
      </c>
    </row>
    <row r="264" spans="1:14">
      <c r="A264" s="15" t="str">
        <f>+'TN 2026'!Q63</f>
        <v>170</v>
      </c>
      <c r="B264" s="108"/>
      <c r="C264" s="101">
        <f>+'TN 2026'!G63</f>
        <v>1666.5868344097432</v>
      </c>
      <c r="D264" s="101">
        <f>+'TN 2026'!F63</f>
        <v>11.781303642281758</v>
      </c>
      <c r="E264" s="102">
        <f t="shared" si="14"/>
        <v>312372.34992578335</v>
      </c>
      <c r="F264" s="102">
        <f t="shared" si="15"/>
        <v>1061.2202412060446</v>
      </c>
      <c r="G264" s="101">
        <f t="shared" si="5"/>
        <v>0</v>
      </c>
      <c r="H264" s="103">
        <f>+J264*ecoparques!$D$14</f>
        <v>159976.94130769046</v>
      </c>
      <c r="I264" s="102">
        <f t="shared" si="6"/>
        <v>473410.51147467986</v>
      </c>
      <c r="J264" s="104">
        <f>+'TN 2026'!L63</f>
        <v>5107.5339999999997</v>
      </c>
      <c r="K264" s="103"/>
      <c r="L264" s="105">
        <f t="shared" si="12"/>
        <v>92.690000000000012</v>
      </c>
      <c r="M264" s="105">
        <f>+'TN 2026'!H63/J264*($N$91)+'TN 2026'!I63/J264*$N$93</f>
        <v>6.4524875135279025</v>
      </c>
      <c r="N264" s="106">
        <f t="shared" si="13"/>
        <v>99.142487513527911</v>
      </c>
    </row>
    <row r="265" spans="1:14">
      <c r="A265" s="15" t="str">
        <f>+'TN 2026'!Q64</f>
        <v>172</v>
      </c>
      <c r="B265" s="108"/>
      <c r="C265" s="101">
        <f>+'TN 2026'!G64</f>
        <v>1652.2838792620755</v>
      </c>
      <c r="D265" s="101">
        <f>+'TN 2026'!F64</f>
        <v>11.680194324664781</v>
      </c>
      <c r="E265" s="102">
        <f t="shared" si="14"/>
        <v>309691.51288920466</v>
      </c>
      <c r="F265" s="102">
        <f t="shared" si="15"/>
        <v>1052.1126536514228</v>
      </c>
      <c r="G265" s="101">
        <f t="shared" si="5"/>
        <v>0</v>
      </c>
      <c r="H265" s="103">
        <f>+J265*ecoparques!$D$14</f>
        <v>108231.92581556726</v>
      </c>
      <c r="I265" s="102">
        <f t="shared" si="6"/>
        <v>418975.55135842337</v>
      </c>
      <c r="J265" s="104">
        <f>+'TN 2026'!L64</f>
        <v>3455.4870000000001</v>
      </c>
      <c r="K265" s="103"/>
      <c r="L265" s="105">
        <f t="shared" si="12"/>
        <v>121.25</v>
      </c>
      <c r="M265" s="105">
        <f>+'TN 2026'!H64/J265*($N$91)+'TN 2026'!I64/J265*$N$93</f>
        <v>9.4555303866752496</v>
      </c>
      <c r="N265" s="106">
        <f t="shared" si="13"/>
        <v>130.70553038667526</v>
      </c>
    </row>
    <row r="266" spans="1:14">
      <c r="A266" s="15" t="str">
        <f>+'TN 2026'!Q65</f>
        <v>175</v>
      </c>
      <c r="B266" s="108"/>
      <c r="C266" s="101">
        <f>+'TN 2026'!G65</f>
        <v>531.80458651319611</v>
      </c>
      <c r="D266" s="101">
        <f>+'TN 2026'!F65</f>
        <v>3.7593908596362264</v>
      </c>
      <c r="E266" s="102">
        <f t="shared" si="14"/>
        <v>99677.40351751422</v>
      </c>
      <c r="F266" s="102">
        <f t="shared" si="15"/>
        <v>338.63329526054696</v>
      </c>
      <c r="G266" s="101">
        <f t="shared" si="5"/>
        <v>0</v>
      </c>
      <c r="H266" s="103">
        <f>+J266*ecoparques!$D$14</f>
        <v>35993.397616879796</v>
      </c>
      <c r="I266" s="102">
        <f t="shared" si="6"/>
        <v>136009.43442965456</v>
      </c>
      <c r="J266" s="104">
        <f>+'TN 2026'!L65</f>
        <v>1149.1500000000001</v>
      </c>
      <c r="K266" s="103">
        <v>0</v>
      </c>
      <c r="L266" s="105">
        <f t="shared" si="12"/>
        <v>118.36</v>
      </c>
      <c r="M266" s="105">
        <f>+'TN 2026'!H65/J266*($N$91)+'TN 2026'!I65/J266*$N$93</f>
        <v>9.1513644136824546</v>
      </c>
      <c r="N266" s="106">
        <f t="shared" si="13"/>
        <v>127.51136441368246</v>
      </c>
    </row>
    <row r="267" spans="1:14">
      <c r="A267" s="15" t="str">
        <f>+'TN 2026'!Q66</f>
        <v>176</v>
      </c>
      <c r="B267" s="108"/>
      <c r="C267" s="101">
        <f>+'TN 2026'!G66</f>
        <v>423.39813132202408</v>
      </c>
      <c r="D267" s="101">
        <f>+'TN 2026'!F66</f>
        <v>2.9930525332909648</v>
      </c>
      <c r="E267" s="102">
        <f t="shared" si="14"/>
        <v>79358.522763134621</v>
      </c>
      <c r="F267" s="102">
        <f t="shared" si="15"/>
        <v>269.60411409159042</v>
      </c>
      <c r="G267" s="101">
        <f t="shared" si="5"/>
        <v>0</v>
      </c>
      <c r="H267" s="103">
        <f>+J267*ecoparques!$D$14</f>
        <v>29507.444685134258</v>
      </c>
      <c r="I267" s="102">
        <f t="shared" si="6"/>
        <v>109135.57156236048</v>
      </c>
      <c r="J267" s="104">
        <f>+'TN 2026'!L66</f>
        <v>942.07500000000005</v>
      </c>
      <c r="K267" s="103"/>
      <c r="L267" s="105">
        <f t="shared" si="12"/>
        <v>115.85000000000001</v>
      </c>
      <c r="M267" s="105">
        <f>+'TN 2026'!H66/J267*($N$91)+'TN 2026'!I66/J267*$N$93</f>
        <v>8.8873841040851396</v>
      </c>
      <c r="N267" s="106">
        <f t="shared" si="13"/>
        <v>124.73738410408515</v>
      </c>
    </row>
    <row r="268" spans="1:14">
      <c r="A268" s="15" t="str">
        <f>+'TN 2026'!Q67</f>
        <v>177</v>
      </c>
      <c r="B268" s="100"/>
      <c r="C268" s="101">
        <f>+'TN 2026'!G67</f>
        <v>163.5468713129678</v>
      </c>
      <c r="D268" s="101">
        <f>+'TN 2026'!F67</f>
        <v>1.1561325884142537</v>
      </c>
      <c r="E268" s="102">
        <f t="shared" si="14"/>
        <v>30653.980614898566</v>
      </c>
      <c r="F268" s="102">
        <f t="shared" si="15"/>
        <v>104.14053839847554</v>
      </c>
      <c r="G268" s="101">
        <f t="shared" si="5"/>
        <v>0</v>
      </c>
      <c r="H268" s="103">
        <f>+J268*ecoparques!$D$14</f>
        <v>12583.516070644788</v>
      </c>
      <c r="I268" s="102">
        <f t="shared" si="6"/>
        <v>43341.637223941827</v>
      </c>
      <c r="J268" s="104">
        <f>+'TN 2026'!L67</f>
        <v>401.75</v>
      </c>
      <c r="K268" s="103"/>
      <c r="L268" s="105">
        <f t="shared" si="12"/>
        <v>107.89</v>
      </c>
      <c r="M268" s="105">
        <f>+'TN 2026'!H67/J268*($N$91)+'TN 2026'!I67/J268*$N$93</f>
        <v>8.0500179247504047</v>
      </c>
      <c r="N268" s="106">
        <f t="shared" si="13"/>
        <v>115.94001792475041</v>
      </c>
    </row>
    <row r="269" spans="1:14">
      <c r="A269" s="15" t="str">
        <f>+'TN 2026'!Q68</f>
        <v>181</v>
      </c>
      <c r="B269" s="108"/>
      <c r="C269" s="101">
        <f>+'TN 2026'!G68</f>
        <v>1049.3710359070369</v>
      </c>
      <c r="D269" s="101">
        <f>+'TN 2026'!F68</f>
        <v>7.4181306081270932</v>
      </c>
      <c r="E269" s="102">
        <f t="shared" si="14"/>
        <v>196686.11899627181</v>
      </c>
      <c r="F269" s="102">
        <f t="shared" si="15"/>
        <v>668.20027666563954</v>
      </c>
      <c r="G269" s="101">
        <f t="shared" ref="G269:G298" si="16">+K170</f>
        <v>0</v>
      </c>
      <c r="H269" s="103">
        <f>+J269*ecoparques!$D$14</f>
        <v>65723.539997750908</v>
      </c>
      <c r="I269" s="102">
        <f t="shared" ref="I269:I297" si="17">E269+F269+G269+H269-K269</f>
        <v>263077.85927068838</v>
      </c>
      <c r="J269" s="104">
        <f>+'TN 2026'!L68</f>
        <v>2098.335</v>
      </c>
      <c r="K269" s="103"/>
      <c r="L269" s="105">
        <f t="shared" si="12"/>
        <v>125.38000000000001</v>
      </c>
      <c r="M269" s="105">
        <f>+'TN 2026'!H68/J269*($N$91)+'TN 2026'!I68/J269*$N$93</f>
        <v>9.8892815304090504</v>
      </c>
      <c r="N269" s="106">
        <f t="shared" si="13"/>
        <v>135.26928153040905</v>
      </c>
    </row>
    <row r="270" spans="1:14">
      <c r="A270" s="15" t="str">
        <f>+'TN 2026'!Q69</f>
        <v>182</v>
      </c>
      <c r="B270" s="107"/>
      <c r="C270" s="101">
        <f>+'TN 2026'!G69</f>
        <v>319.86489767557026</v>
      </c>
      <c r="D270" s="101">
        <f>+'TN 2026'!F69</f>
        <v>2.2611635986899805</v>
      </c>
      <c r="E270" s="102">
        <f t="shared" si="14"/>
        <v>59953.041559383135</v>
      </c>
      <c r="F270" s="102">
        <f t="shared" si="15"/>
        <v>203.67801836430431</v>
      </c>
      <c r="G270" s="101">
        <f t="shared" si="16"/>
        <v>0</v>
      </c>
      <c r="H270" s="103">
        <f>+J270*ecoparques!$D$14</f>
        <v>20340.349312449842</v>
      </c>
      <c r="I270" s="102">
        <f t="shared" si="17"/>
        <v>80497.06889019729</v>
      </c>
      <c r="J270" s="104">
        <f>+'TN 2026'!L69</f>
        <v>649.4</v>
      </c>
      <c r="K270" s="103"/>
      <c r="L270" s="105">
        <f t="shared" si="12"/>
        <v>123.96000000000001</v>
      </c>
      <c r="M270" s="105">
        <f>+'TN 2026'!H69/J270*($N$91)+'TN 2026'!I69/J270*$N$93</f>
        <v>9.7401308415042713</v>
      </c>
      <c r="N270" s="106">
        <f t="shared" si="13"/>
        <v>133.70013084150429</v>
      </c>
    </row>
    <row r="271" spans="1:14">
      <c r="A271" s="15" t="str">
        <f>+'TN 2026'!Q70</f>
        <v>183</v>
      </c>
      <c r="B271" s="108"/>
      <c r="C271" s="101">
        <f>+'TN 2026'!G70</f>
        <v>11914.462668562352</v>
      </c>
      <c r="D271" s="101">
        <f>+'TN 2026'!F70</f>
        <v>84.224775772141456</v>
      </c>
      <c r="E271" s="102">
        <f t="shared" si="14"/>
        <v>2233156.1878682286</v>
      </c>
      <c r="F271" s="102">
        <f t="shared" si="15"/>
        <v>7586.6847654837293</v>
      </c>
      <c r="G271" s="101">
        <f t="shared" si="16"/>
        <v>0</v>
      </c>
      <c r="H271" s="103">
        <f>+J271*ecoparques!$D$14</f>
        <v>797449.72178960859</v>
      </c>
      <c r="I271" s="102">
        <f t="shared" si="17"/>
        <v>3038192.5944233211</v>
      </c>
      <c r="J271" s="104">
        <f>+'TN 2026'!L70</f>
        <v>25459.929</v>
      </c>
      <c r="K271" s="103"/>
      <c r="L271" s="105">
        <f t="shared" si="12"/>
        <v>119.34</v>
      </c>
      <c r="M271" s="105">
        <f>+'TN 2026'!H70/J271*($N$91)+'TN 2026'!I70/J271*$N$93</f>
        <v>9.2539631351554554</v>
      </c>
      <c r="N271" s="106">
        <f t="shared" si="13"/>
        <v>128.59396313515546</v>
      </c>
    </row>
    <row r="272" spans="1:14">
      <c r="A272" s="15" t="str">
        <f>+'TN 2026'!Q71</f>
        <v>186</v>
      </c>
      <c r="B272" s="108"/>
      <c r="C272" s="101">
        <f>+'TN 2026'!G71</f>
        <v>11159.591651693858</v>
      </c>
      <c r="D272" s="101">
        <f>+'TN 2026'!F71</f>
        <v>78.888501371752653</v>
      </c>
      <c r="E272" s="102">
        <f t="shared" si="14"/>
        <v>2091668.9106609833</v>
      </c>
      <c r="F272" s="102">
        <f t="shared" si="15"/>
        <v>7106.0110999652106</v>
      </c>
      <c r="G272" s="101">
        <f t="shared" si="16"/>
        <v>0</v>
      </c>
      <c r="H272" s="103">
        <f>+J272*ecoparques!$D$14</f>
        <v>724265.52708885551</v>
      </c>
      <c r="I272" s="102">
        <f t="shared" si="17"/>
        <v>2823040.4488498038</v>
      </c>
      <c r="J272" s="104">
        <f>+'TN 2026'!L71</f>
        <v>23123.4</v>
      </c>
      <c r="K272" s="103"/>
      <c r="L272" s="105">
        <f t="shared" si="12"/>
        <v>122.09</v>
      </c>
      <c r="M272" s="105">
        <f>+'TN 2026'!H71/J272*($N$91)+'TN 2026'!I71/J272*$N$93</f>
        <v>9.5434873873373061</v>
      </c>
      <c r="N272" s="106">
        <f t="shared" si="13"/>
        <v>131.63348738733731</v>
      </c>
    </row>
    <row r="273" spans="1:14">
      <c r="A273" s="15" t="str">
        <f>+'TN 2026'!Q72</f>
        <v>187</v>
      </c>
      <c r="B273" s="107"/>
      <c r="C273" s="101">
        <f>+'TN 2026'!G72</f>
        <v>118.66905591800599</v>
      </c>
      <c r="D273" s="101">
        <f>+'TN 2026'!F72</f>
        <v>0.83888589052012985</v>
      </c>
      <c r="E273" s="102">
        <f t="shared" si="14"/>
        <v>22242.42451411808</v>
      </c>
      <c r="F273" s="102">
        <f t="shared" si="15"/>
        <v>75.564021954848883</v>
      </c>
      <c r="G273" s="101">
        <f t="shared" si="16"/>
        <v>0</v>
      </c>
      <c r="H273" s="103">
        <f>+J273*ecoparques!$D$14</f>
        <v>8844.7944881369713</v>
      </c>
      <c r="I273" s="102">
        <f t="shared" si="17"/>
        <v>31162.783024209901</v>
      </c>
      <c r="J273" s="104">
        <f>+'TN 2026'!L72</f>
        <v>282.38499999999999</v>
      </c>
      <c r="K273" s="103"/>
      <c r="L273" s="105">
        <f t="shared" si="12"/>
        <v>110.36</v>
      </c>
      <c r="M273" s="105">
        <f>+'TN 2026'!H72/J273*($N$91)+'TN 2026'!I72/J273*$N$93</f>
        <v>8.3101020305152939</v>
      </c>
      <c r="N273" s="106">
        <f t="shared" si="13"/>
        <v>118.6701020305153</v>
      </c>
    </row>
    <row r="274" spans="1:14">
      <c r="A274" s="15" t="str">
        <f>+'TN 2026'!Q73</f>
        <v>189</v>
      </c>
      <c r="B274" s="107"/>
      <c r="C274" s="101">
        <f>+'TN 2026'!G73</f>
        <v>850.00825124724884</v>
      </c>
      <c r="D274" s="101">
        <f>+'TN 2026'!F73</f>
        <v>6.0088110019994865</v>
      </c>
      <c r="E274" s="102">
        <f t="shared" si="14"/>
        <v>159319.07621990063</v>
      </c>
      <c r="F274" s="102">
        <f t="shared" si="15"/>
        <v>541.25350254264572</v>
      </c>
      <c r="G274" s="101">
        <f t="shared" si="16"/>
        <v>0</v>
      </c>
      <c r="H274" s="103">
        <f>+J274*ecoparques!$D$14</f>
        <v>51367.682279670073</v>
      </c>
      <c r="I274" s="102">
        <f t="shared" si="17"/>
        <v>211228.01200211333</v>
      </c>
      <c r="J274" s="104">
        <f>+'TN 2026'!L73</f>
        <v>1640</v>
      </c>
      <c r="K274" s="103">
        <v>0</v>
      </c>
      <c r="L274" s="105">
        <f t="shared" si="12"/>
        <v>128.79999999999998</v>
      </c>
      <c r="M274" s="105">
        <f>+'TN 2026'!H73/J274*($N$91)+'TN 2026'!I73/J274*$N$93</f>
        <v>10.249195705405777</v>
      </c>
      <c r="N274" s="106">
        <f t="shared" si="13"/>
        <v>139.04919570540577</v>
      </c>
    </row>
    <row r="275" spans="1:14">
      <c r="A275" s="15" t="str">
        <f>+'TN 2026'!Q74</f>
        <v>190</v>
      </c>
      <c r="B275" s="107"/>
      <c r="C275" s="101">
        <f>+'TN 2026'!G74</f>
        <v>353.2985958589482</v>
      </c>
      <c r="D275" s="101">
        <f>+'TN 2026'!F74</f>
        <v>2.4975104496611662</v>
      </c>
      <c r="E275" s="102">
        <f t="shared" si="14"/>
        <v>66219.599444409294</v>
      </c>
      <c r="F275" s="102">
        <f t="shared" si="15"/>
        <v>224.96734845981095</v>
      </c>
      <c r="G275" s="101">
        <f t="shared" si="16"/>
        <v>0</v>
      </c>
      <c r="H275" s="103">
        <f>+J275*ecoparques!$D$14</f>
        <v>20686.454732687867</v>
      </c>
      <c r="I275" s="102">
        <f t="shared" si="17"/>
        <v>87131.021525556978</v>
      </c>
      <c r="J275" s="104">
        <f>+'TN 2026'!L74</f>
        <v>660.45</v>
      </c>
      <c r="K275" s="103"/>
      <c r="L275" s="105">
        <f t="shared" si="12"/>
        <v>131.92999999999998</v>
      </c>
      <c r="M275" s="105">
        <f>+'TN 2026'!H74/J275*($N$91)+'TN 2026'!I74/J275*$N$93</f>
        <v>10.578216695259149</v>
      </c>
      <c r="N275" s="106">
        <f t="shared" si="13"/>
        <v>142.50821669525914</v>
      </c>
    </row>
    <row r="276" spans="1:14">
      <c r="A276" s="15" t="str">
        <f>+'TN 2026'!Q75</f>
        <v>197</v>
      </c>
      <c r="B276" s="108"/>
      <c r="C276" s="101">
        <f>+'TN 2026'!G75</f>
        <v>1269.7430229202018</v>
      </c>
      <c r="D276" s="101">
        <f>+'TN 2026'!F75</f>
        <v>8.9759668034277666</v>
      </c>
      <c r="E276" s="102">
        <f t="shared" si="14"/>
        <v>237990.96673647192</v>
      </c>
      <c r="F276" s="102">
        <f t="shared" si="15"/>
        <v>808.52492605361681</v>
      </c>
      <c r="G276" s="101">
        <f t="shared" si="16"/>
        <v>0</v>
      </c>
      <c r="H276" s="103">
        <f>+J276*ecoparques!$D$14</f>
        <v>123649.52846896288</v>
      </c>
      <c r="I276" s="102">
        <f t="shared" si="17"/>
        <v>362449.02013148845</v>
      </c>
      <c r="J276" s="104">
        <f>+'TN 2026'!L75</f>
        <v>3947.72</v>
      </c>
      <c r="K276" s="103"/>
      <c r="L276" s="105">
        <f t="shared" si="12"/>
        <v>91.820000000000007</v>
      </c>
      <c r="M276" s="105">
        <f>+'TN 2026'!H75/J276*($N$91)+'TN 2026'!I75/J276*$N$93</f>
        <v>6.3603349276151349</v>
      </c>
      <c r="N276" s="106">
        <f t="shared" si="13"/>
        <v>98.180334927615149</v>
      </c>
    </row>
    <row r="277" spans="1:14">
      <c r="A277" s="15" t="str">
        <f>+'TN 2026'!Q76</f>
        <v>198</v>
      </c>
      <c r="B277" s="107"/>
      <c r="C277" s="101">
        <f>+'TN 2026'!G76</f>
        <v>44.395385382679528</v>
      </c>
      <c r="D277" s="101">
        <f>+'TN 2026'!F76</f>
        <v>0.31383634186376413</v>
      </c>
      <c r="E277" s="102">
        <f t="shared" si="14"/>
        <v>8321.1330916099432</v>
      </c>
      <c r="F277" s="102">
        <f t="shared" si="15"/>
        <v>28.269323032861134</v>
      </c>
      <c r="G277" s="101">
        <f t="shared" si="16"/>
        <v>0</v>
      </c>
      <c r="H277" s="103">
        <f>+J277*ecoparques!$D$14</f>
        <v>3805.5935347438499</v>
      </c>
      <c r="I277" s="102">
        <f t="shared" si="17"/>
        <v>12154.995949386654</v>
      </c>
      <c r="J277" s="104">
        <f>+'TN 2026'!L76</f>
        <v>121.5</v>
      </c>
      <c r="K277" s="103">
        <v>0</v>
      </c>
      <c r="L277" s="105">
        <f t="shared" si="12"/>
        <v>100.05000000000001</v>
      </c>
      <c r="M277" s="105">
        <f>+'TN 2026'!H76/J277*($N$91)+'TN 2026'!I76/J277*$N$93</f>
        <v>7.225568869813463</v>
      </c>
      <c r="N277" s="106">
        <f t="shared" si="13"/>
        <v>107.27556886981347</v>
      </c>
    </row>
    <row r="278" spans="1:14">
      <c r="A278" s="15" t="str">
        <f>+'TN 2026'!Q77</f>
        <v>200</v>
      </c>
      <c r="B278" s="108"/>
      <c r="C278" s="101">
        <f>+'TN 2026'!G77</f>
        <v>312.27219186825533</v>
      </c>
      <c r="D278" s="101">
        <f>+'TN 2026'!F77</f>
        <v>2.2074898442023096</v>
      </c>
      <c r="E278" s="102">
        <f t="shared" si="14"/>
        <v>58529.922579707461</v>
      </c>
      <c r="F278" s="102">
        <f t="shared" si="15"/>
        <v>198.84326692988594</v>
      </c>
      <c r="G278" s="101">
        <f t="shared" si="16"/>
        <v>0</v>
      </c>
      <c r="H278" s="103">
        <f>+J278*ecoparques!$D$14</f>
        <v>24755.777465477338</v>
      </c>
      <c r="I278" s="102">
        <f t="shared" si="17"/>
        <v>83484.543312114693</v>
      </c>
      <c r="J278" s="104">
        <f>+'TN 2026'!L77</f>
        <v>790.37</v>
      </c>
      <c r="K278" s="103"/>
      <c r="L278" s="105">
        <f t="shared" si="12"/>
        <v>105.63000000000001</v>
      </c>
      <c r="M278" s="105">
        <f>+'TN 2026'!H77/J278*($N$91)+'TN 2026'!I77/J278*$N$93</f>
        <v>7.8129196267125787</v>
      </c>
      <c r="N278" s="106">
        <f t="shared" si="13"/>
        <v>113.44291962671259</v>
      </c>
    </row>
    <row r="279" spans="1:14">
      <c r="A279" s="15" t="str">
        <f>+'TN 2026'!Q78</f>
        <v>106</v>
      </c>
      <c r="B279" s="100"/>
      <c r="C279" s="101">
        <f>+'TN 2026'!G78</f>
        <v>643.90744332205065</v>
      </c>
      <c r="D279" s="101">
        <f>+'TN 2026'!F78</f>
        <v>4.5518594955114811</v>
      </c>
      <c r="E279" s="102">
        <f t="shared" si="14"/>
        <v>120689.1096535331</v>
      </c>
      <c r="F279" s="102">
        <f t="shared" si="15"/>
        <v>410.01620690145978</v>
      </c>
      <c r="G279" s="101">
        <f t="shared" si="16"/>
        <v>0</v>
      </c>
      <c r="H279" s="103">
        <f>+J279*ecoparques!$D$14</f>
        <v>50406.260933588077</v>
      </c>
      <c r="I279" s="102">
        <f t="shared" si="17"/>
        <v>171505.38679402263</v>
      </c>
      <c r="J279" s="104">
        <f>+'TN 2026'!L78</f>
        <v>1609.3050000000001</v>
      </c>
      <c r="K279" s="103"/>
      <c r="L279" s="105">
        <f t="shared" si="12"/>
        <v>106.58</v>
      </c>
      <c r="M279" s="105">
        <f>+'TN 2026'!H78/J279*($N$91)+'TN 2026'!I78/J279*$N$93</f>
        <v>7.9121694049851854</v>
      </c>
      <c r="N279" s="106">
        <f t="shared" si="13"/>
        <v>114.49216940498519</v>
      </c>
    </row>
    <row r="280" spans="1:14">
      <c r="A280" s="15" t="str">
        <f>+'TN 2026'!Q79</f>
        <v>208</v>
      </c>
      <c r="B280" s="107"/>
      <c r="C280" s="101">
        <f>+'TN 2026'!G79</f>
        <v>320.12278368650976</v>
      </c>
      <c r="D280" s="101">
        <f>+'TN 2026'!F79</f>
        <v>2.262986626051799</v>
      </c>
      <c r="E280" s="102">
        <f t="shared" si="14"/>
        <v>60001.377750205553</v>
      </c>
      <c r="F280" s="102">
        <f t="shared" si="15"/>
        <v>203.84223054280136</v>
      </c>
      <c r="G280" s="101">
        <f t="shared" si="16"/>
        <v>0</v>
      </c>
      <c r="H280" s="103">
        <f>+J280*ecoparques!$D$14</f>
        <v>20944.859231960596</v>
      </c>
      <c r="I280" s="102">
        <f t="shared" si="17"/>
        <v>81150.079212708952</v>
      </c>
      <c r="J280" s="104">
        <f>+'TN 2026'!L79</f>
        <v>668.7</v>
      </c>
      <c r="K280" s="103">
        <v>0</v>
      </c>
      <c r="L280" s="105">
        <f t="shared" si="12"/>
        <v>121.36</v>
      </c>
      <c r="M280" s="105">
        <f>+'TN 2026'!H79/J280*($N$91)+'TN 2026'!I79/J280*$N$93</f>
        <v>9.4666376460116499</v>
      </c>
      <c r="N280" s="106">
        <f t="shared" si="13"/>
        <v>130.82663764601165</v>
      </c>
    </row>
    <row r="281" spans="1:14">
      <c r="A281" s="15" t="str">
        <f>+'TN 2026'!Q80</f>
        <v>210</v>
      </c>
      <c r="B281" s="108"/>
      <c r="C281" s="101">
        <f>+'TN 2026'!G80</f>
        <v>441.11444487242551</v>
      </c>
      <c r="D281" s="101">
        <f>+'TN 2026'!F80</f>
        <v>3.1182912937621969</v>
      </c>
      <c r="E281" s="102">
        <f t="shared" si="14"/>
        <v>82679.133715711185</v>
      </c>
      <c r="F281" s="102">
        <f t="shared" si="15"/>
        <v>280.88520077189997</v>
      </c>
      <c r="G281" s="101">
        <f t="shared" si="16"/>
        <v>0</v>
      </c>
      <c r="H281" s="103">
        <f>+J281*ecoparques!$D$14</f>
        <v>26675.174764317693</v>
      </c>
      <c r="I281" s="102">
        <f t="shared" si="17"/>
        <v>109635.19368080077</v>
      </c>
      <c r="J281" s="104">
        <f>+'TN 2026'!L80</f>
        <v>851.65</v>
      </c>
      <c r="K281" s="103"/>
      <c r="L281" s="105">
        <f t="shared" si="12"/>
        <v>128.73999999999998</v>
      </c>
      <c r="M281" s="105">
        <f>+'TN 2026'!H80/J281*($N$91)+'TN 2026'!I80/J281*$N$93</f>
        <v>10.242373792569085</v>
      </c>
      <c r="N281" s="106">
        <f t="shared" si="13"/>
        <v>138.98237379256906</v>
      </c>
    </row>
    <row r="282" spans="1:14">
      <c r="A282" s="15" t="str">
        <f>+'TN 2026'!Q81</f>
        <v>212</v>
      </c>
      <c r="B282" s="107"/>
      <c r="C282" s="101">
        <f>+'TN 2026'!G81</f>
        <v>126.88487564210988</v>
      </c>
      <c r="D282" s="101">
        <f>+'TN 2026'!F81</f>
        <v>0.8969645125525646</v>
      </c>
      <c r="E282" s="102">
        <f t="shared" si="14"/>
        <v>23782.335223117454</v>
      </c>
      <c r="F282" s="102">
        <f t="shared" si="15"/>
        <v>80.795549055209563</v>
      </c>
      <c r="G282" s="101">
        <f t="shared" si="16"/>
        <v>0</v>
      </c>
      <c r="H282" s="103">
        <f>+J282*ecoparques!$D$14</f>
        <v>10668.190600277821</v>
      </c>
      <c r="I282" s="102">
        <f t="shared" si="17"/>
        <v>34531.321372450482</v>
      </c>
      <c r="J282" s="104">
        <f>+'TN 2026'!L81</f>
        <v>340.6</v>
      </c>
      <c r="K282" s="103"/>
      <c r="L282" s="105">
        <f t="shared" si="12"/>
        <v>101.39</v>
      </c>
      <c r="M282" s="105">
        <f>+'TN 2026'!H81/J282*($N$91)+'TN 2026'!I81/J282*$N$93</f>
        <v>7.3667461904660598</v>
      </c>
      <c r="N282" s="106">
        <f t="shared" si="13"/>
        <v>108.75674619046606</v>
      </c>
    </row>
    <row r="283" spans="1:14">
      <c r="A283" s="15" t="str">
        <f>+'TN 2026'!Q82</f>
        <v>219</v>
      </c>
      <c r="B283" s="108"/>
      <c r="C283" s="101">
        <f>+'TN 2026'!G82</f>
        <v>419.91673144570296</v>
      </c>
      <c r="D283" s="101">
        <f>+'TN 2026'!F82</f>
        <v>2.9684420970410783</v>
      </c>
      <c r="E283" s="102">
        <f t="shared" si="14"/>
        <v>78705.995671269702</v>
      </c>
      <c r="F283" s="102">
        <f t="shared" si="15"/>
        <v>267.38728869719523</v>
      </c>
      <c r="G283" s="101">
        <f t="shared" si="16"/>
        <v>0</v>
      </c>
      <c r="H283" s="103">
        <f>+J283*ecoparques!$D$14</f>
        <v>24289.960288121696</v>
      </c>
      <c r="I283" s="102">
        <f t="shared" si="17"/>
        <v>103263.3432480886</v>
      </c>
      <c r="J283" s="104">
        <f>+'TN 2026'!L82</f>
        <v>775.49800000000005</v>
      </c>
      <c r="K283" s="103"/>
      <c r="L283" s="105">
        <f t="shared" si="12"/>
        <v>133.16</v>
      </c>
      <c r="M283" s="105">
        <f>+'TN 2026'!H82/J283*($N$91)+'TN 2026'!I82/J283*$N$93</f>
        <v>10.707620971783752</v>
      </c>
      <c r="N283" s="106">
        <f t="shared" si="13"/>
        <v>143.86762097178374</v>
      </c>
    </row>
    <row r="284" spans="1:14">
      <c r="A284" s="15" t="str">
        <f>+'TN 2026'!Q83</f>
        <v>220</v>
      </c>
      <c r="B284" s="107"/>
      <c r="C284" s="101">
        <f>+'TN 2026'!G83</f>
        <v>459.99545692511668</v>
      </c>
      <c r="D284" s="101">
        <f>+'TN 2026'!F83</f>
        <v>3.2517634486320142</v>
      </c>
      <c r="E284" s="102">
        <f t="shared" si="14"/>
        <v>86218.046889692327</v>
      </c>
      <c r="F284" s="102">
        <f t="shared" si="15"/>
        <v>292.90792395143808</v>
      </c>
      <c r="G284" s="101">
        <f t="shared" si="16"/>
        <v>0</v>
      </c>
      <c r="H284" s="103">
        <f>+J284*ecoparques!$D$14</f>
        <v>27274.986420205303</v>
      </c>
      <c r="I284" s="102">
        <f t="shared" si="17"/>
        <v>113785.94123384907</v>
      </c>
      <c r="J284" s="104">
        <f>+'TN 2026'!L83</f>
        <v>870.8</v>
      </c>
      <c r="K284" s="103"/>
      <c r="L284" s="105">
        <f t="shared" si="12"/>
        <v>130.66999999999999</v>
      </c>
      <c r="M284" s="105">
        <f>+'TN 2026'!H83/J284*($N$91)+'TN 2026'!I83/J284*$N$93</f>
        <v>10.445894000607181</v>
      </c>
      <c r="N284" s="106">
        <f t="shared" si="13"/>
        <v>141.11589400060717</v>
      </c>
    </row>
    <row r="285" spans="1:14">
      <c r="A285" s="15" t="str">
        <f>+'TN 2026'!Q84</f>
        <v>221</v>
      </c>
      <c r="B285" s="108"/>
      <c r="C285" s="101">
        <f>+'TN 2026'!G84</f>
        <v>50.123822206251084</v>
      </c>
      <c r="D285" s="101">
        <f>+'TN 2026'!F84</f>
        <v>0.35433135371715307</v>
      </c>
      <c r="E285" s="102">
        <f t="shared" si="14"/>
        <v>9394.8276840757444</v>
      </c>
      <c r="F285" s="102">
        <f t="shared" si="15"/>
        <v>31.916977617746443</v>
      </c>
      <c r="G285" s="101">
        <f t="shared" si="16"/>
        <v>0</v>
      </c>
      <c r="H285" s="103">
        <f>+J285*ecoparques!$D$14</f>
        <v>6857.8988019108301</v>
      </c>
      <c r="I285" s="102">
        <f t="shared" si="17"/>
        <v>16284.64346360432</v>
      </c>
      <c r="J285" s="104">
        <f>+'TN 2026'!L84</f>
        <v>218.95</v>
      </c>
      <c r="K285" s="103"/>
      <c r="L285" s="105">
        <f t="shared" si="12"/>
        <v>74.38000000000001</v>
      </c>
      <c r="M285" s="105">
        <f>+'TN 2026'!H84/J285*($N$91)+'TN 2026'!I84/J285*$N$93</f>
        <v>4.5269919658902475</v>
      </c>
      <c r="N285" s="106">
        <f t="shared" si="13"/>
        <v>78.906991965890256</v>
      </c>
    </row>
    <row r="286" spans="1:14">
      <c r="A286" s="15" t="str">
        <f>+'TN 2026'!Q85</f>
        <v>223</v>
      </c>
      <c r="B286" s="108"/>
      <c r="C286" s="101">
        <f>+'TN 2026'!G85</f>
        <v>117.7193767243954</v>
      </c>
      <c r="D286" s="101">
        <f>+'TN 2026'!F85</f>
        <v>0.83217249358714229</v>
      </c>
      <c r="E286" s="102">
        <f t="shared" si="14"/>
        <v>22064.423875172175</v>
      </c>
      <c r="F286" s="102">
        <f t="shared" si="15"/>
        <v>74.959301719393068</v>
      </c>
      <c r="G286" s="101">
        <f t="shared" si="16"/>
        <v>0</v>
      </c>
      <c r="H286" s="103">
        <f>+J286*ecoparques!$D$14</f>
        <v>9941.4005395354652</v>
      </c>
      <c r="I286" s="102">
        <f t="shared" si="17"/>
        <v>32080.783716427035</v>
      </c>
      <c r="J286" s="104">
        <f>+'TN 2026'!L85</f>
        <v>317.39600000000002</v>
      </c>
      <c r="K286" s="103"/>
      <c r="L286" s="105">
        <f t="shared" si="12"/>
        <v>101.08</v>
      </c>
      <c r="M286" s="105">
        <f>+'TN 2026'!H85/J286*($N$91)+'TN 2026'!I85/J286*$N$93</f>
        <v>7.3342717465683442</v>
      </c>
      <c r="N286" s="106">
        <f t="shared" si="13"/>
        <v>108.41427174656835</v>
      </c>
    </row>
    <row r="287" spans="1:14">
      <c r="A287" s="15" t="str">
        <f>+'TN 2026'!Q86</f>
        <v>228</v>
      </c>
      <c r="B287" s="108"/>
      <c r="C287" s="101">
        <f>+'TN 2026'!G86</f>
        <v>7.8122228307854966</v>
      </c>
      <c r="D287" s="101">
        <f>+'TN 2026'!F86</f>
        <v>5.5225546842416484E-2</v>
      </c>
      <c r="E287" s="102">
        <f t="shared" si="14"/>
        <v>1464.2635795575648</v>
      </c>
      <c r="F287" s="102">
        <f t="shared" si="15"/>
        <v>4.9745316749593824</v>
      </c>
      <c r="G287" s="101">
        <f t="shared" si="16"/>
        <v>0</v>
      </c>
      <c r="H287" s="103">
        <f>+J287*ecoparques!$D$14</f>
        <v>1183.9624330314198</v>
      </c>
      <c r="I287" s="102">
        <f t="shared" si="17"/>
        <v>2653.2005442639438</v>
      </c>
      <c r="J287" s="104">
        <f>+'TN 2026'!L86</f>
        <v>37.799999999999997</v>
      </c>
      <c r="K287" s="103"/>
      <c r="L287" s="105">
        <f t="shared" si="12"/>
        <v>70.2</v>
      </c>
      <c r="M287" s="105">
        <f>+'TN 2026'!H86/J287*($N$91)+'TN 2026'!I86/J287*$N$93</f>
        <v>4.0868934465051945</v>
      </c>
      <c r="N287" s="106">
        <f t="shared" si="13"/>
        <v>74.286893446505204</v>
      </c>
    </row>
    <row r="288" spans="1:14">
      <c r="A288" s="15" t="str">
        <f>+'TN 2026'!Q87</f>
        <v>241</v>
      </c>
      <c r="B288" s="107"/>
      <c r="C288" s="101">
        <f>+'TN 2026'!G87</f>
        <v>268.77735247046024</v>
      </c>
      <c r="D288" s="101">
        <f>+'TN 2026'!F87</f>
        <v>5</v>
      </c>
      <c r="E288" s="102">
        <f t="shared" si="14"/>
        <v>50377.580972409349</v>
      </c>
      <c r="F288" s="102">
        <f t="shared" si="15"/>
        <v>450.38319757647452</v>
      </c>
      <c r="G288" s="101">
        <f t="shared" si="16"/>
        <v>0</v>
      </c>
      <c r="H288" s="103">
        <f>+J288*ecoparques!$D$14</f>
        <v>22949.451711167232</v>
      </c>
      <c r="I288" s="102">
        <f t="shared" si="17"/>
        <v>73777.415881153051</v>
      </c>
      <c r="J288" s="104">
        <f>+'TN 2026'!L87</f>
        <v>732.7</v>
      </c>
      <c r="K288" s="103"/>
      <c r="L288" s="105">
        <f t="shared" si="12"/>
        <v>100.7</v>
      </c>
      <c r="M288" s="105">
        <f>+'TN 2026'!H87/J288*($N$91)+'TN 2026'!I87/J288*$N$93</f>
        <v>7.283274998725668</v>
      </c>
      <c r="N288" s="106">
        <f t="shared" si="13"/>
        <v>107.98327499872568</v>
      </c>
    </row>
    <row r="289" spans="1:14">
      <c r="A289" s="15" t="str">
        <f>+'TN 2026'!Q88</f>
        <v>242</v>
      </c>
      <c r="B289" s="108"/>
      <c r="C289" s="101">
        <f>+'TN 2026'!G88</f>
        <v>82.20306841825176</v>
      </c>
      <c r="D289" s="101">
        <f>+'TN 2026'!F88</f>
        <v>0.58110342009613092</v>
      </c>
      <c r="E289" s="102">
        <f t="shared" si="14"/>
        <v>15407.517401884217</v>
      </c>
      <c r="F289" s="102">
        <f t="shared" si="15"/>
        <v>52.343843293104158</v>
      </c>
      <c r="G289" s="101">
        <f t="shared" si="16"/>
        <v>0</v>
      </c>
      <c r="H289" s="103">
        <f>+J289*ecoparques!$D$14</f>
        <v>7730.2097479405938</v>
      </c>
      <c r="I289" s="102">
        <f t="shared" si="17"/>
        <v>23190.070993117915</v>
      </c>
      <c r="J289" s="104">
        <f>+'TN 2026'!L88</f>
        <v>246.8</v>
      </c>
      <c r="K289" s="103"/>
      <c r="L289" s="105">
        <f t="shared" si="12"/>
        <v>93.97</v>
      </c>
      <c r="M289" s="105">
        <f>+'TN 2026'!H88/J289*($N$91)+'TN 2026'!I88/J289*$N$93</f>
        <v>6.5864798262882394</v>
      </c>
      <c r="N289" s="106">
        <f t="shared" si="13"/>
        <v>100.55647982628824</v>
      </c>
    </row>
    <row r="290" spans="1:14">
      <c r="A290" s="15" t="str">
        <f>+'TN 2026'!Q89</f>
        <v>245</v>
      </c>
      <c r="B290" s="108"/>
      <c r="C290" s="101">
        <f>+'TN 2026'!G89</f>
        <v>39.357943160423069</v>
      </c>
      <c r="D290" s="101">
        <f>+'TN 2026'!F89</f>
        <v>0.27822605431347686</v>
      </c>
      <c r="E290" s="102">
        <f t="shared" si="14"/>
        <v>7376.9532672571859</v>
      </c>
      <c r="F290" s="102">
        <f t="shared" si="15"/>
        <v>25.061667998157915</v>
      </c>
      <c r="G290" s="101">
        <f t="shared" si="16"/>
        <v>0</v>
      </c>
      <c r="H290" s="103">
        <f>+J290*ecoparques!$D$14</f>
        <v>3011.5869824330962</v>
      </c>
      <c r="I290" s="102">
        <f t="shared" si="17"/>
        <v>10413.60191768844</v>
      </c>
      <c r="J290" s="104">
        <f>+'TN 2026'!L89</f>
        <v>96.15</v>
      </c>
      <c r="K290" s="103"/>
      <c r="L290" s="105">
        <f t="shared" si="12"/>
        <v>108.31</v>
      </c>
      <c r="M290" s="105">
        <f>+'TN 2026'!H89/J290*($N$91)+'TN 2026'!I89/J290*$N$93</f>
        <v>8.0945665512531004</v>
      </c>
      <c r="N290" s="106">
        <f t="shared" si="13"/>
        <v>116.4045665512531</v>
      </c>
    </row>
    <row r="291" spans="1:14">
      <c r="A291" s="15" t="str">
        <f>+'TN 2026'!Q90</f>
        <v>253</v>
      </c>
      <c r="B291" s="108"/>
      <c r="C291" s="101">
        <f>+'TN 2026'!G90</f>
        <v>1007.6208559496104</v>
      </c>
      <c r="D291" s="101">
        <f>+'TN 2026'!F90</f>
        <v>7.1229935429332745</v>
      </c>
      <c r="E291" s="102">
        <f t="shared" si="14"/>
        <v>188860.78307385967</v>
      </c>
      <c r="F291" s="102">
        <f t="shared" si="15"/>
        <v>641.61532163657387</v>
      </c>
      <c r="G291" s="101">
        <f t="shared" si="16"/>
        <v>0</v>
      </c>
      <c r="H291" s="103">
        <f>+J291*ecoparques!$D$14</f>
        <v>77159.583482837334</v>
      </c>
      <c r="I291" s="102">
        <f t="shared" si="17"/>
        <v>266661.98187833361</v>
      </c>
      <c r="J291" s="104">
        <f>+'TN 2026'!L90</f>
        <v>2463.4499999999998</v>
      </c>
      <c r="K291" s="103"/>
      <c r="L291" s="105">
        <f t="shared" si="12"/>
        <v>108.25</v>
      </c>
      <c r="M291" s="105">
        <f>+'TN 2026'!H90/J291*($N$91)+'TN 2026'!I90/J291*$N$93</f>
        <v>8.0884236160977938</v>
      </c>
      <c r="N291" s="106">
        <f t="shared" si="13"/>
        <v>116.3384236160978</v>
      </c>
    </row>
    <row r="292" spans="1:14">
      <c r="A292" s="15" t="str">
        <f>+'TN 2026'!Q91</f>
        <v>255</v>
      </c>
      <c r="B292" s="108"/>
      <c r="C292" s="101">
        <f>+'TN 2026'!G91</f>
        <v>42.879965044524539</v>
      </c>
      <c r="D292" s="101">
        <f>+'TN 2026'!F91</f>
        <v>0.30312365244316364</v>
      </c>
      <c r="E292" s="102">
        <f t="shared" si="14"/>
        <v>8037.0942390394721</v>
      </c>
      <c r="F292" s="102">
        <f t="shared" si="15"/>
        <v>27.304359969682391</v>
      </c>
      <c r="G292" s="101">
        <f t="shared" si="16"/>
        <v>0</v>
      </c>
      <c r="H292" s="103">
        <f>+J292*ecoparques!$D$14</f>
        <v>3226.1410212231813</v>
      </c>
      <c r="I292" s="102">
        <f t="shared" si="17"/>
        <v>11290.539620232335</v>
      </c>
      <c r="J292" s="104">
        <f>+'TN 2026'!L91</f>
        <v>103</v>
      </c>
      <c r="K292" s="103"/>
      <c r="L292" s="105">
        <f t="shared" si="12"/>
        <v>109.62</v>
      </c>
      <c r="M292" s="105">
        <f>+'TN 2026'!H91/J292*($N$91)+'TN 2026'!I91/J292*$N$93</f>
        <v>8.2324232474667109</v>
      </c>
      <c r="N292" s="106">
        <f t="shared" si="13"/>
        <v>117.85242324746672</v>
      </c>
    </row>
    <row r="293" spans="1:14">
      <c r="A293" s="15" t="str">
        <f>+'TN 2026'!Q92</f>
        <v>257</v>
      </c>
      <c r="B293" s="107"/>
      <c r="C293" s="101">
        <f>+'TN 2026'!G92</f>
        <v>1444.9314100985341</v>
      </c>
      <c r="D293" s="101">
        <f>+'TN 2026'!F92</f>
        <v>10.214394673692651</v>
      </c>
      <c r="E293" s="102">
        <f t="shared" si="14"/>
        <v>270826.94446816045</v>
      </c>
      <c r="F293" s="102">
        <f t="shared" si="15"/>
        <v>920.07834688916114</v>
      </c>
      <c r="G293" s="101">
        <f t="shared" si="16"/>
        <v>0</v>
      </c>
      <c r="H293" s="103">
        <f>+J293*ecoparques!$D$14</f>
        <v>101627.2634229437</v>
      </c>
      <c r="I293" s="102">
        <f t="shared" si="17"/>
        <v>373374.28623799334</v>
      </c>
      <c r="J293" s="104">
        <f>+'TN 2026'!L92</f>
        <v>3244.6219999999998</v>
      </c>
      <c r="K293" s="103"/>
      <c r="L293" s="105">
        <f t="shared" si="12"/>
        <v>115.08</v>
      </c>
      <c r="M293" s="105">
        <f>+'TN 2026'!H92/J293*($N$91)+'TN 2026'!I92/J293*$N$93</f>
        <v>8.8063028289999146</v>
      </c>
      <c r="N293" s="106">
        <f t="shared" si="13"/>
        <v>123.88630282899992</v>
      </c>
    </row>
    <row r="294" spans="1:14">
      <c r="A294" s="15" t="str">
        <f>+'TN 2026'!Q93</f>
        <v>147</v>
      </c>
      <c r="B294" s="108"/>
      <c r="C294" s="101">
        <f>+'TN 2026'!G93</f>
        <v>10954.41257439115</v>
      </c>
      <c r="D294" s="101">
        <f>+'TN 2026'!F93</f>
        <v>77.438065690372426</v>
      </c>
      <c r="E294" s="102">
        <f t="shared" si="14"/>
        <v>2053211.7062661399</v>
      </c>
      <c r="F294" s="102">
        <f t="shared" si="15"/>
        <v>6975.3607279534035</v>
      </c>
      <c r="G294" s="101">
        <f t="shared" si="16"/>
        <v>0</v>
      </c>
      <c r="H294" s="103">
        <f>+J294*ecoparques!$D$14</f>
        <v>630782.29647377855</v>
      </c>
      <c r="I294" s="102">
        <f t="shared" si="17"/>
        <v>2690969.3634678721</v>
      </c>
      <c r="J294" s="104">
        <f>+'TN 2026'!L93</f>
        <v>20138.79</v>
      </c>
      <c r="K294" s="103">
        <v>0</v>
      </c>
      <c r="L294" s="105">
        <f>ROUNDUP((I294)/J294,2)</f>
        <v>133.63</v>
      </c>
      <c r="M294" s="105">
        <f>+'TN 2026'!H93/J294*($N$91)+'TN 2026'!I93/J294*$N$93</f>
        <v>10.756381890423121</v>
      </c>
      <c r="N294" s="106">
        <f t="shared" si="13"/>
        <v>144.38638189042311</v>
      </c>
    </row>
    <row r="295" spans="1:14">
      <c r="A295" s="15" t="str">
        <f>+'TN 2026'!Q94</f>
        <v>145</v>
      </c>
      <c r="B295" s="107"/>
      <c r="C295" s="101">
        <f>+'TN 2026'!G94</f>
        <v>2756.9501675828192</v>
      </c>
      <c r="D295" s="101">
        <f>+'TN 2026'!F94</f>
        <v>19.489213751311322</v>
      </c>
      <c r="E295" s="102">
        <f t="shared" si="14"/>
        <v>516741.75308191351</v>
      </c>
      <c r="F295" s="102">
        <f t="shared" si="15"/>
        <v>1755.5228815133983</v>
      </c>
      <c r="G295" s="101">
        <f t="shared" si="16"/>
        <v>0</v>
      </c>
      <c r="H295" s="103">
        <f>+J295*ecoparques!$D$14</f>
        <v>234333.57203471966</v>
      </c>
      <c r="I295" s="102">
        <f t="shared" si="17"/>
        <v>752830.84799814655</v>
      </c>
      <c r="J295" s="104">
        <f>+'TN 2026'!L94</f>
        <v>7481.4949999999999</v>
      </c>
      <c r="K295" s="103"/>
      <c r="L295" s="105">
        <f t="shared" si="12"/>
        <v>100.63000000000001</v>
      </c>
      <c r="M295" s="105">
        <f>+'TN 2026'!H94/J295*($N$91)+'TN 2026'!I94/J295*$N$93</f>
        <v>7.2870377377631996</v>
      </c>
      <c r="N295" s="106">
        <f t="shared" si="13"/>
        <v>107.91703773776321</v>
      </c>
    </row>
    <row r="296" spans="1:14">
      <c r="A296" s="15" t="str">
        <f>+'TN 2026'!Q95</f>
        <v>148</v>
      </c>
      <c r="B296" s="107"/>
      <c r="C296" s="101">
        <f>+'TN 2026'!G95</f>
        <v>652.19086029605432</v>
      </c>
      <c r="D296" s="101">
        <f>+'TN 2026'!F95</f>
        <v>4.6104159706686429</v>
      </c>
      <c r="E296" s="102">
        <f t="shared" si="14"/>
        <v>122241.690276493</v>
      </c>
      <c r="F296" s="102">
        <f t="shared" si="15"/>
        <v>415.2907774054778</v>
      </c>
      <c r="G296" s="101">
        <f t="shared" si="16"/>
        <v>0</v>
      </c>
      <c r="H296" s="103">
        <f>+J296*ecoparques!$D$14</f>
        <v>49302.356912694966</v>
      </c>
      <c r="I296" s="102">
        <f t="shared" si="17"/>
        <v>171959.33796659345</v>
      </c>
      <c r="J296" s="104">
        <f>+'TN 2026'!L95</f>
        <v>1574.0609999999999</v>
      </c>
      <c r="K296" s="103"/>
      <c r="L296" s="105">
        <f t="shared" si="12"/>
        <v>109.25</v>
      </c>
      <c r="M296" s="105">
        <f>+'TN 2026'!H95/J296*($N$91)+'TN 2026'!I95/J296*$N$93</f>
        <v>8.1933902765047968</v>
      </c>
      <c r="N296" s="106">
        <f t="shared" si="13"/>
        <v>117.4433902765048</v>
      </c>
    </row>
    <row r="297" spans="1:14">
      <c r="A297" s="15" t="str">
        <f>+'TN 2026'!Q96</f>
        <v>265</v>
      </c>
      <c r="B297" s="107"/>
      <c r="C297" s="101">
        <f>+'TN 2026'!G96</f>
        <v>193.4245834512088</v>
      </c>
      <c r="D297" s="101">
        <f>+'TN 2026'!F96</f>
        <v>5</v>
      </c>
      <c r="E297" s="102">
        <f t="shared" si="14"/>
        <v>36254.031544338381</v>
      </c>
      <c r="F297" s="102">
        <f t="shared" si="15"/>
        <v>450.38319757647452</v>
      </c>
      <c r="G297" s="101">
        <f t="shared" si="16"/>
        <v>0</v>
      </c>
      <c r="H297" s="103">
        <f>+J297*ecoparques!$D$14</f>
        <v>13590.040747508932</v>
      </c>
      <c r="I297" s="102">
        <f t="shared" si="17"/>
        <v>50294.455489423788</v>
      </c>
      <c r="J297" s="104">
        <f>+'TN 2026'!L96</f>
        <v>433.88499999999999</v>
      </c>
      <c r="K297" s="103"/>
      <c r="L297" s="105">
        <f t="shared" si="12"/>
        <v>115.92</v>
      </c>
      <c r="M297" s="105">
        <f>+'TN 2026'!H96/J297*($N$91)+'TN 2026'!I96/J297*$N$93</f>
        <v>8.87346223265512</v>
      </c>
      <c r="N297" s="106">
        <f t="shared" si="13"/>
        <v>124.79346223265512</v>
      </c>
    </row>
    <row r="298" spans="1:14">
      <c r="B298" s="114" t="s">
        <v>196</v>
      </c>
      <c r="C298" s="115">
        <f>+'TN 2026'!G97</f>
        <v>125192.37201893932</v>
      </c>
      <c r="D298" s="115">
        <f>+'TN 2026'!F97</f>
        <v>929.87106005069506</v>
      </c>
      <c r="E298" s="116">
        <f>+N84*C298</f>
        <v>23465105.227588937</v>
      </c>
      <c r="F298" s="116">
        <f>+M84*D298</f>
        <v>83759.660271891596</v>
      </c>
      <c r="G298" s="101">
        <f t="shared" si="16"/>
        <v>0</v>
      </c>
      <c r="H298" s="102">
        <f>+SUM(H204:H297)</f>
        <v>8585918.3458399903</v>
      </c>
      <c r="I298" s="102">
        <f>E298+F298+G298+H298-K298</f>
        <v>32134783.233700819</v>
      </c>
      <c r="J298" s="153">
        <f>SUM(J252:J297)+SUM(J204:J250)</f>
        <v>274119.94199999998</v>
      </c>
      <c r="K298" s="103">
        <f>SUM(K204:K297)</f>
        <v>0</v>
      </c>
      <c r="L298" s="117">
        <f>(I298-G305)/J298</f>
        <v>117.22891446438734</v>
      </c>
      <c r="M298" s="118">
        <f>(N90+N91+N92+N93)/J298</f>
        <v>9.0323801977407445</v>
      </c>
      <c r="N298" s="118">
        <f>L298+M298</f>
        <v>126.26129466212809</v>
      </c>
    </row>
    <row r="299" spans="1:14">
      <c r="C299" s="15"/>
      <c r="G299" s="119">
        <f>H111</f>
        <v>0</v>
      </c>
      <c r="H299" s="120">
        <f>+E298+F298+H298</f>
        <v>32134783.233700819</v>
      </c>
      <c r="I299" s="120">
        <f>+I298</f>
        <v>32134783.233700819</v>
      </c>
      <c r="M299" s="60"/>
    </row>
    <row r="300" spans="1:14">
      <c r="F300" s="2"/>
      <c r="I300" s="121">
        <f>C81</f>
        <v>502882.30719999992</v>
      </c>
      <c r="J300" t="s">
        <v>302</v>
      </c>
    </row>
    <row r="301" spans="1:14">
      <c r="E301" s="141"/>
      <c r="I301" s="60">
        <f>I299+I300</f>
        <v>32637665.540900819</v>
      </c>
      <c r="J301" s="122" t="s">
        <v>303</v>
      </c>
      <c r="K301" s="123"/>
      <c r="L301" s="22">
        <v>87.8</v>
      </c>
      <c r="M301" s="3">
        <v>2023</v>
      </c>
    </row>
    <row r="302" spans="1:14">
      <c r="I302" s="124"/>
      <c r="J302" s="125"/>
      <c r="K302" s="125"/>
      <c r="L302" s="22">
        <v>81.11</v>
      </c>
      <c r="M302" s="3">
        <v>2022</v>
      </c>
      <c r="N302" s="126"/>
    </row>
    <row r="303" spans="1:14">
      <c r="E303" s="22"/>
      <c r="F303" s="22"/>
      <c r="G303" s="22"/>
      <c r="H303" s="22"/>
      <c r="I303" s="22">
        <f>I301+N91+N93</f>
        <v>35113621.076827459</v>
      </c>
      <c r="J303" s="122" t="s">
        <v>304</v>
      </c>
      <c r="L303" s="22">
        <v>78.27</v>
      </c>
      <c r="M303" s="3">
        <v>2021</v>
      </c>
    </row>
    <row r="304" spans="1:14">
      <c r="I304" s="127">
        <f>+I303-I300-ecoparques!B33</f>
        <v>33614167.004574388</v>
      </c>
      <c r="J304" s="128" t="s">
        <v>305</v>
      </c>
    </row>
    <row r="305" spans="9:14">
      <c r="L305" s="129"/>
      <c r="M305" s="22"/>
    </row>
    <row r="306" spans="9:14">
      <c r="I306" s="127" t="s">
        <v>514</v>
      </c>
      <c r="J306" s="127"/>
      <c r="K306" s="127"/>
      <c r="L306" s="127"/>
    </row>
    <row r="307" spans="9:14">
      <c r="I307" s="126"/>
      <c r="J307" s="130"/>
      <c r="K307" s="2"/>
    </row>
    <row r="308" spans="9:14">
      <c r="I308" s="131"/>
    </row>
    <row r="309" spans="9:14" hidden="1">
      <c r="I309" s="2"/>
    </row>
    <row r="310" spans="9:14" hidden="1">
      <c r="J310" s="15"/>
      <c r="K310" s="15">
        <v>87.8</v>
      </c>
      <c r="L310">
        <v>2023</v>
      </c>
    </row>
    <row r="311" spans="9:14" hidden="1">
      <c r="K311" s="15"/>
      <c r="N311" s="23"/>
    </row>
    <row r="312" spans="9:14" hidden="1">
      <c r="K312" s="15">
        <v>117.54</v>
      </c>
      <c r="L312" s="15">
        <f>K312-K310</f>
        <v>29.740000000000009</v>
      </c>
      <c r="M312" t="s">
        <v>306</v>
      </c>
      <c r="N312" s="23">
        <f>($K$310+L312)/K310-1</f>
        <v>0.33872437357630991</v>
      </c>
    </row>
    <row r="313" spans="9:14" hidden="1">
      <c r="K313" s="15">
        <v>126.13</v>
      </c>
      <c r="L313" s="15">
        <f>K313-K312</f>
        <v>8.5899999999999892</v>
      </c>
      <c r="M313" t="s">
        <v>307</v>
      </c>
      <c r="N313" s="23">
        <f>($K$310+L313)/K310-1</f>
        <v>9.7835990888382574E-2</v>
      </c>
    </row>
    <row r="314" spans="9:14" hidden="1">
      <c r="N314" s="5">
        <f>SUM(N311:N313)</f>
        <v>0.43656036446469249</v>
      </c>
    </row>
    <row r="315" spans="9:14" hidden="1"/>
    <row r="316" spans="9:14" hidden="1">
      <c r="N316" s="23">
        <f>K313/K310-1</f>
        <v>0.43656036446469249</v>
      </c>
    </row>
    <row r="317" spans="9:14" hidden="1"/>
    <row r="318" spans="9:14" hidden="1"/>
    <row r="319" spans="9:14">
      <c r="K319" s="212">
        <v>107.06</v>
      </c>
      <c r="L319" s="196">
        <v>2025</v>
      </c>
      <c r="M319" s="196"/>
      <c r="N319" s="196"/>
    </row>
    <row r="320" spans="9:14">
      <c r="K320" s="212"/>
      <c r="L320" s="196"/>
      <c r="M320" s="196"/>
      <c r="N320" s="213"/>
    </row>
    <row r="321" spans="11:14">
      <c r="K321" s="212">
        <v>117.54</v>
      </c>
      <c r="L321" s="212">
        <f>K321-K319</f>
        <v>10.480000000000004</v>
      </c>
      <c r="M321" s="196" t="s">
        <v>306</v>
      </c>
      <c r="N321" s="213">
        <f>($K$319+L321)/K319-1</f>
        <v>9.7889034186437573E-2</v>
      </c>
    </row>
    <row r="322" spans="11:14">
      <c r="K322" s="212">
        <v>126.13</v>
      </c>
      <c r="L322" s="212">
        <f>K322-K321</f>
        <v>8.5899999999999892</v>
      </c>
      <c r="M322" s="196" t="s">
        <v>307</v>
      </c>
      <c r="N322" s="213">
        <f>($K$319+L322)/K319-1</f>
        <v>8.0235382028768898E-2</v>
      </c>
    </row>
    <row r="323" spans="11:14">
      <c r="K323" s="196"/>
      <c r="L323" s="196"/>
      <c r="M323" s="196"/>
      <c r="N323" s="214">
        <f>SUM(N320:N322)</f>
        <v>0.17812441621520647</v>
      </c>
    </row>
    <row r="324" spans="11:14">
      <c r="K324" s="196"/>
      <c r="L324" s="196"/>
      <c r="M324" s="196"/>
      <c r="N324" s="196"/>
    </row>
    <row r="325" spans="11:14">
      <c r="K325" s="196"/>
      <c r="L325" s="196"/>
      <c r="M325" s="196"/>
      <c r="N325" s="213">
        <f>K322/K319-1</f>
        <v>0.17812441621520625</v>
      </c>
    </row>
  </sheetData>
  <mergeCells count="17">
    <mergeCell ref="F6:G6"/>
    <mergeCell ref="B9:N9"/>
    <mergeCell ref="C69:F69"/>
    <mergeCell ref="C71:C72"/>
    <mergeCell ref="F79:G79"/>
    <mergeCell ref="H79:J79"/>
    <mergeCell ref="C150:C151"/>
    <mergeCell ref="F150:F151"/>
    <mergeCell ref="H150:K151"/>
    <mergeCell ref="B202:N202"/>
    <mergeCell ref="F80:G80"/>
    <mergeCell ref="H80:J80"/>
    <mergeCell ref="H81:J81"/>
    <mergeCell ref="B103:B104"/>
    <mergeCell ref="C103:C104"/>
    <mergeCell ref="F103:F104"/>
    <mergeCell ref="H103:K104"/>
  </mergeCells>
  <conditionalFormatting sqref="O4">
    <cfRule type="cellIs" dxfId="0" priority="1" operator="equal">
      <formula>$K$4</formula>
    </cfRule>
  </conditionalFormatting>
  <pageMargins left="0.7" right="0.7" top="0.75" bottom="0.75" header="0.3" footer="0.3"/>
  <pageSetup paperSize="8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1726-8316-4B33-9DF0-81CD63044D38}">
  <dimension ref="B3:D13"/>
  <sheetViews>
    <sheetView workbookViewId="0">
      <selection activeCell="M9" sqref="M9"/>
    </sheetView>
  </sheetViews>
  <sheetFormatPr baseColWidth="10" defaultRowHeight="14.5"/>
  <cols>
    <col min="2" max="2" width="34.1796875" bestFit="1" customWidth="1"/>
    <col min="3" max="3" width="12.81640625" bestFit="1" customWidth="1"/>
  </cols>
  <sheetData>
    <row r="3" spans="2:4">
      <c r="B3" s="1" t="s">
        <v>403</v>
      </c>
      <c r="C3" s="2">
        <f>+'COSTES 26'!E53</f>
        <v>4042962.9680000008</v>
      </c>
      <c r="D3" s="4">
        <f>+C3/$C$13</f>
        <v>0.11806140186378973</v>
      </c>
    </row>
    <row r="4" spans="2:4">
      <c r="B4" s="1" t="s">
        <v>404</v>
      </c>
      <c r="C4" s="2">
        <f>+'COSTES 26'!E54</f>
        <v>16937257.967049282</v>
      </c>
      <c r="D4" s="4">
        <f t="shared" ref="D4:D11" si="0">+C4/$C$13</f>
        <v>0.49459676854464801</v>
      </c>
    </row>
    <row r="5" spans="2:4">
      <c r="B5" s="1" t="s">
        <v>405</v>
      </c>
      <c r="C5" s="2">
        <f>+'COSTES 26'!E55</f>
        <v>2380726.4768525395</v>
      </c>
      <c r="D5" s="4">
        <f t="shared" si="0"/>
        <v>6.9521266342564211E-2</v>
      </c>
    </row>
    <row r="6" spans="2:4">
      <c r="B6" s="1" t="s">
        <v>521</v>
      </c>
      <c r="C6" s="131">
        <f>+'COSTES 26'!E56-C8</f>
        <v>7985918.3458399996</v>
      </c>
      <c r="D6" s="4">
        <f t="shared" si="0"/>
        <v>0.2332024118306559</v>
      </c>
    </row>
    <row r="7" spans="2:4">
      <c r="B7" s="1" t="s">
        <v>522</v>
      </c>
      <c r="C7" s="2">
        <f>+GENERALES!G69-GENERALES!F65</f>
        <v>1242205.7679999999</v>
      </c>
      <c r="D7" s="4">
        <f t="shared" si="0"/>
        <v>3.6274523297430687E-2</v>
      </c>
    </row>
    <row r="8" spans="2:4">
      <c r="B8" s="1" t="s">
        <v>523</v>
      </c>
      <c r="C8" s="131">
        <f>+ecoparques!D6</f>
        <v>600000</v>
      </c>
      <c r="D8" s="4">
        <f t="shared" si="0"/>
        <v>1.7521021507974847E-2</v>
      </c>
    </row>
    <row r="9" spans="2:4">
      <c r="B9" s="1" t="s">
        <v>524</v>
      </c>
      <c r="C9" s="2">
        <f>+GENERALES!G76+GENERALES!G71</f>
        <v>872372.58681087696</v>
      </c>
      <c r="D9" s="4">
        <f t="shared" si="0"/>
        <v>2.5474764760801714E-2</v>
      </c>
    </row>
    <row r="10" spans="2:4">
      <c r="B10" s="1" t="s">
        <v>525</v>
      </c>
      <c r="C10">
        <v>20000</v>
      </c>
      <c r="D10" s="4">
        <f t="shared" si="0"/>
        <v>5.8403405026582816E-4</v>
      </c>
    </row>
    <row r="11" spans="2:4">
      <c r="B11" s="1" t="s">
        <v>526</v>
      </c>
      <c r="C11" s="2">
        <f>+GENERALES!F65</f>
        <v>163134.59120065669</v>
      </c>
      <c r="D11" s="4">
        <f t="shared" si="0"/>
        <v>4.7638078018689837E-3</v>
      </c>
    </row>
    <row r="13" spans="2:4">
      <c r="C13" s="2">
        <f>SUM(C3:C12)</f>
        <v>34244578.70375336</v>
      </c>
      <c r="D13" s="4">
        <f>SUM(D3:D12)</f>
        <v>0.99999999999999989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10A74-BAA6-4C1A-B172-758CB9B49543}">
  <dimension ref="A1:J39"/>
  <sheetViews>
    <sheetView zoomScale="75" zoomScaleNormal="75" workbookViewId="0">
      <selection activeCell="B37" sqref="B37:B38"/>
    </sheetView>
  </sheetViews>
  <sheetFormatPr baseColWidth="10" defaultRowHeight="14.5"/>
  <cols>
    <col min="1" max="1" width="17.54296875" customWidth="1"/>
    <col min="2" max="2" width="38.453125" customWidth="1"/>
    <col min="3" max="3" width="14.453125" customWidth="1"/>
    <col min="4" max="4" width="17.7265625" customWidth="1"/>
    <col min="5" max="5" width="15.7265625" customWidth="1"/>
    <col min="6" max="6" width="14.81640625" bestFit="1" customWidth="1"/>
    <col min="7" max="7" width="18.453125" customWidth="1"/>
    <col min="8" max="9" width="15.453125" customWidth="1"/>
    <col min="10" max="10" width="18.26953125" customWidth="1"/>
  </cols>
  <sheetData>
    <row r="1" spans="1:7" ht="15" thickBot="1">
      <c r="B1" s="241" t="s">
        <v>308</v>
      </c>
      <c r="C1" s="242"/>
      <c r="D1" s="243"/>
    </row>
    <row r="2" spans="1:7">
      <c r="B2" s="132" t="s">
        <v>309</v>
      </c>
      <c r="C2" s="133"/>
      <c r="D2" s="134"/>
    </row>
    <row r="3" spans="1:7">
      <c r="B3" s="135"/>
      <c r="C3" s="113"/>
      <c r="D3" s="136" t="s">
        <v>310</v>
      </c>
    </row>
    <row r="4" spans="1:7">
      <c r="B4" s="137" t="s">
        <v>311</v>
      </c>
      <c r="C4" s="138"/>
      <c r="D4" s="139">
        <v>5425425.0499999998</v>
      </c>
      <c r="E4" s="27"/>
    </row>
    <row r="5" spans="1:7">
      <c r="A5">
        <v>2282877.9300000002</v>
      </c>
      <c r="B5" s="137" t="s">
        <v>312</v>
      </c>
      <c r="C5" s="138"/>
      <c r="D5" s="140">
        <v>2242986.2999999998</v>
      </c>
      <c r="E5" s="141"/>
      <c r="F5" s="131"/>
      <c r="G5" s="131"/>
    </row>
    <row r="6" spans="1:7">
      <c r="B6" s="137" t="s">
        <v>313</v>
      </c>
      <c r="C6" s="39"/>
      <c r="D6" s="207">
        <v>600000</v>
      </c>
      <c r="E6" t="s">
        <v>511</v>
      </c>
      <c r="F6" s="18"/>
    </row>
    <row r="7" spans="1:7" ht="15" thickBot="1">
      <c r="B7" s="142" t="s">
        <v>314</v>
      </c>
      <c r="C7" s="143"/>
      <c r="D7" s="144">
        <f>SUM(D4:D6)</f>
        <v>8268411.3499999996</v>
      </c>
    </row>
    <row r="8" spans="1:7">
      <c r="B8" s="132" t="s">
        <v>315</v>
      </c>
      <c r="C8" s="145"/>
      <c r="D8" s="146"/>
    </row>
    <row r="9" spans="1:7" ht="29">
      <c r="B9" s="147" t="s">
        <v>316</v>
      </c>
      <c r="C9" s="113"/>
      <c r="D9" s="139">
        <f>D7*0.01*0.84</f>
        <v>69454.655339999998</v>
      </c>
      <c r="E9" s="131"/>
      <c r="F9" s="2">
        <f>+D9+GENERALES!G71</f>
        <v>264729.61190337851</v>
      </c>
      <c r="G9" s="131"/>
    </row>
    <row r="10" spans="1:7">
      <c r="B10" s="147" t="s">
        <v>317</v>
      </c>
      <c r="C10" s="113"/>
      <c r="D10" s="139">
        <f>D7*0.03</f>
        <v>248052.34049999999</v>
      </c>
      <c r="E10" s="131"/>
      <c r="F10" s="131">
        <f>+D10+GENERALES!G76</f>
        <v>925149.97074749833</v>
      </c>
    </row>
    <row r="11" spans="1:7" ht="15" thickBot="1">
      <c r="B11" s="142" t="s">
        <v>318</v>
      </c>
      <c r="C11" s="148"/>
      <c r="D11" s="144">
        <f>D9+D10</f>
        <v>317506.99583999999</v>
      </c>
    </row>
    <row r="12" spans="1:7">
      <c r="B12" s="149" t="s">
        <v>319</v>
      </c>
      <c r="C12" s="150"/>
      <c r="D12" s="151">
        <f>D7+D11</f>
        <v>8585918.3458399996</v>
      </c>
    </row>
    <row r="13" spans="1:7" ht="15" thickBot="1">
      <c r="B13" s="152" t="s">
        <v>409</v>
      </c>
      <c r="C13" s="153">
        <f>+'TN 2026'!U97</f>
        <v>274119.94200000004</v>
      </c>
      <c r="D13" s="154"/>
    </row>
    <row r="14" spans="1:7" ht="15" thickBot="1">
      <c r="B14" s="155" t="s">
        <v>320</v>
      </c>
      <c r="C14" s="156"/>
      <c r="D14" s="157">
        <f>ROUND(D12/C13,20)</f>
        <v>31.321757487603701</v>
      </c>
      <c r="E14" s="131"/>
    </row>
    <row r="16" spans="1:7">
      <c r="B16" s="131"/>
      <c r="D16" s="22"/>
    </row>
    <row r="17" spans="1:10">
      <c r="C17" s="1"/>
      <c r="D17" s="131"/>
    </row>
    <row r="18" spans="1:10">
      <c r="B18" s="131"/>
      <c r="D18" s="131"/>
    </row>
    <row r="19" spans="1:10">
      <c r="B19" s="131"/>
      <c r="F19" s="131"/>
    </row>
    <row r="20" spans="1:10">
      <c r="B20" s="131"/>
      <c r="G20" s="131"/>
      <c r="J20" s="126"/>
    </row>
    <row r="21" spans="1:10">
      <c r="B21" s="131"/>
      <c r="F21" s="131"/>
    </row>
    <row r="22" spans="1:10">
      <c r="E22" s="131"/>
      <c r="F22" s="23"/>
    </row>
    <row r="23" spans="1:10">
      <c r="B23" t="s">
        <v>321</v>
      </c>
    </row>
    <row r="24" spans="1:10">
      <c r="A24" t="s">
        <v>322</v>
      </c>
      <c r="B24" s="22">
        <f>B27/1.04</f>
        <v>2380726.4768525399</v>
      </c>
    </row>
    <row r="25" spans="1:10">
      <c r="A25" t="s">
        <v>323</v>
      </c>
      <c r="B25" s="22">
        <f>B24*0.01</f>
        <v>23807.264768525401</v>
      </c>
      <c r="E25" s="131"/>
      <c r="G25" s="131"/>
    </row>
    <row r="26" spans="1:10">
      <c r="A26" t="s">
        <v>324</v>
      </c>
      <c r="B26" s="22">
        <f>B24*0.03</f>
        <v>71421.794305576201</v>
      </c>
    </row>
    <row r="27" spans="1:10">
      <c r="B27" s="22">
        <f>+GENERALES!N91+GENERALES!N93</f>
        <v>2475955.5359266414</v>
      </c>
      <c r="C27" s="141" t="s">
        <v>515</v>
      </c>
    </row>
    <row r="29" spans="1:10">
      <c r="A29" s="196" t="s">
        <v>325</v>
      </c>
    </row>
    <row r="30" spans="1:10">
      <c r="A30" t="s">
        <v>326</v>
      </c>
      <c r="B30" s="209">
        <f>D10</f>
        <v>248052.34049999999</v>
      </c>
      <c r="C30" s="216" t="s">
        <v>516</v>
      </c>
    </row>
    <row r="31" spans="1:10">
      <c r="A31" t="s">
        <v>327</v>
      </c>
      <c r="B31" s="217">
        <f>+GENERALES!G76</f>
        <v>677097.6302474984</v>
      </c>
      <c r="C31" t="s">
        <v>517</v>
      </c>
    </row>
    <row r="32" spans="1:10">
      <c r="A32" t="s">
        <v>328</v>
      </c>
      <c r="B32" s="217">
        <f>B26</f>
        <v>71421.794305576201</v>
      </c>
      <c r="C32" t="s">
        <v>518</v>
      </c>
    </row>
    <row r="33" spans="1:3">
      <c r="B33" s="219">
        <f>SUM(B30:B32)</f>
        <v>996571.76505307457</v>
      </c>
    </row>
    <row r="35" spans="1:3">
      <c r="A35" s="196" t="s">
        <v>329</v>
      </c>
    </row>
    <row r="36" spans="1:3">
      <c r="A36" t="s">
        <v>326</v>
      </c>
      <c r="B36" s="218">
        <f>D9</f>
        <v>69454.655339999998</v>
      </c>
      <c r="C36" t="s">
        <v>519</v>
      </c>
    </row>
    <row r="37" spans="1:3">
      <c r="A37" t="s">
        <v>328</v>
      </c>
      <c r="B37" s="217">
        <f>B25</f>
        <v>23807.264768525401</v>
      </c>
    </row>
    <row r="38" spans="1:3">
      <c r="A38" t="s">
        <v>327</v>
      </c>
      <c r="B38" s="217">
        <f>+GENERALES!G71</f>
        <v>195274.95656337854</v>
      </c>
    </row>
    <row r="39" spans="1:3">
      <c r="B39" s="220">
        <f>SUM(B36:B38)</f>
        <v>288536.87667190394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4D5D-E11C-44E3-8658-CCBC71E9B4CE}">
  <dimension ref="A1:X148"/>
  <sheetViews>
    <sheetView tabSelected="1" zoomScale="75" zoomScaleNormal="75" workbookViewId="0">
      <selection activeCell="Q93" sqref="Q93"/>
    </sheetView>
  </sheetViews>
  <sheetFormatPr baseColWidth="10" defaultRowHeight="14.5"/>
  <cols>
    <col min="1" max="1" width="11.453125" style="171" customWidth="1"/>
    <col min="2" max="2" width="14.453125" customWidth="1"/>
    <col min="3" max="4" width="11.54296875" bestFit="1" customWidth="1"/>
    <col min="5" max="5" width="13.1796875" customWidth="1"/>
    <col min="6" max="6" width="15.26953125" customWidth="1"/>
    <col min="7" max="7" width="16.453125" customWidth="1"/>
    <col min="8" max="8" width="14.54296875" customWidth="1"/>
    <col min="9" max="9" width="12" bestFit="1" customWidth="1"/>
    <col min="11" max="11" width="12" bestFit="1" customWidth="1"/>
    <col min="12" max="12" width="14.81640625" customWidth="1"/>
    <col min="13" max="13" width="20.54296875" customWidth="1"/>
    <col min="19" max="19" width="23" customWidth="1"/>
  </cols>
  <sheetData>
    <row r="1" spans="1:24" ht="49.5" customHeight="1" thickBot="1">
      <c r="A1"/>
      <c r="C1" s="244" t="s">
        <v>330</v>
      </c>
      <c r="D1" s="244"/>
      <c r="E1" s="244"/>
      <c r="F1" s="244"/>
      <c r="G1" s="244"/>
      <c r="H1" s="244"/>
      <c r="I1" s="244"/>
    </row>
    <row r="2" spans="1:24" ht="65.25" customHeight="1">
      <c r="A2"/>
      <c r="B2" s="245"/>
      <c r="C2" s="246"/>
      <c r="D2" s="246"/>
      <c r="E2" s="247"/>
      <c r="F2" s="158" t="s">
        <v>199</v>
      </c>
      <c r="G2" s="158" t="s">
        <v>198</v>
      </c>
      <c r="H2" s="158" t="s">
        <v>331</v>
      </c>
      <c r="I2" s="158" t="s">
        <v>332</v>
      </c>
      <c r="K2" s="13"/>
      <c r="O2" s="162" t="s">
        <v>333</v>
      </c>
      <c r="P2" s="163" t="s">
        <v>334</v>
      </c>
    </row>
    <row r="3" spans="1:24" ht="57" thickBot="1">
      <c r="A3" s="169" t="s">
        <v>336</v>
      </c>
      <c r="B3" s="159" t="s">
        <v>352</v>
      </c>
      <c r="C3" s="160" t="s">
        <v>353</v>
      </c>
      <c r="D3" s="160" t="s">
        <v>354</v>
      </c>
      <c r="E3" s="161" t="s">
        <v>355</v>
      </c>
      <c r="F3" s="162" t="s">
        <v>413</v>
      </c>
      <c r="G3" s="163" t="s">
        <v>414</v>
      </c>
      <c r="H3" s="164"/>
      <c r="I3" s="164"/>
      <c r="L3" t="s">
        <v>479</v>
      </c>
      <c r="M3" t="s">
        <v>387</v>
      </c>
      <c r="N3" s="192"/>
      <c r="O3" s="193">
        <f>+F15+F38+F49+F87+F96+F50</f>
        <v>65</v>
      </c>
      <c r="P3" s="192">
        <f>+G15+G38+G49+G50+G87+G96</f>
        <v>2847.4460321811507</v>
      </c>
      <c r="Q3" s="192"/>
    </row>
    <row r="4" spans="1:24">
      <c r="A4" s="170" t="s">
        <v>116</v>
      </c>
      <c r="B4" s="194">
        <f>+'[1]Resum dades per a Ajuntaments'!$N2</f>
        <v>521.08000000000004</v>
      </c>
      <c r="C4" s="135">
        <f>+'[1]Resum dades per a Ajuntaments'!$L2</f>
        <v>0</v>
      </c>
      <c r="D4" s="135">
        <f>+'[1]Resum dades per a Ajuntaments'!$M2</f>
        <v>4.08</v>
      </c>
      <c r="E4" s="194">
        <f>+B4+C4+D4</f>
        <v>525.16000000000008</v>
      </c>
      <c r="F4" s="165">
        <f>K4</f>
        <v>3.7112951152382379</v>
      </c>
      <c r="G4" s="113">
        <f>B4*$G$108</f>
        <v>525.00094772765863</v>
      </c>
      <c r="H4" s="113">
        <f>G4/$G$97</f>
        <v>4.1935538025290832E-3</v>
      </c>
      <c r="I4" s="113">
        <f>F4/$F$97</f>
        <v>3.9911932682751778E-3</v>
      </c>
      <c r="K4">
        <f>B4/$B$97*$F$99</f>
        <v>3.7112951152382379</v>
      </c>
      <c r="L4" s="15">
        <f>+INDEX($R$4:$U$96,MATCH(R4,$S$4:$S$96,0),4)</f>
        <v>1162.4559999999999</v>
      </c>
      <c r="Q4" s="15" t="str">
        <f>+INDEX($R$4:$X$96,MATCH(R4,$S$4:$S$96,0),6)</f>
        <v>002</v>
      </c>
      <c r="R4" s="170" t="s">
        <v>116</v>
      </c>
      <c r="S4" s="203" t="s">
        <v>416</v>
      </c>
      <c r="T4" s="203">
        <v>997</v>
      </c>
      <c r="U4" s="204">
        <v>1162.4559999999999</v>
      </c>
      <c r="W4" s="248" t="s">
        <v>210</v>
      </c>
      <c r="X4" s="249" t="s">
        <v>416</v>
      </c>
    </row>
    <row r="5" spans="1:24">
      <c r="A5" s="170" t="s">
        <v>117</v>
      </c>
      <c r="B5" s="194">
        <f>+'[1]Resum dades per a Ajuntaments'!$N3</f>
        <v>764.73882139166403</v>
      </c>
      <c r="C5" s="135">
        <f>+'[1]Resum dades per a Ajuntaments'!$L3</f>
        <v>0</v>
      </c>
      <c r="D5" s="135">
        <f>+'[1]Resum dades per a Ajuntaments'!$M3</f>
        <v>0</v>
      </c>
      <c r="E5" s="194">
        <f t="shared" ref="E5:E68" si="0">+B5+C5+D5</f>
        <v>764.73882139166403</v>
      </c>
      <c r="F5" s="165">
        <f t="shared" ref="F5:F68" si="1">K5</f>
        <v>5.4467096266675554</v>
      </c>
      <c r="G5" s="113">
        <f t="shared" ref="G5:G68" si="2">B5*$G$108</f>
        <v>770.49321792192404</v>
      </c>
      <c r="H5" s="113">
        <f t="shared" ref="H5:H68" si="3">G5/$G$97</f>
        <v>6.1544741544266174E-3</v>
      </c>
      <c r="I5" s="113">
        <f t="shared" ref="I5:I68" si="4">F5/$F$97</f>
        <v>5.8574891301280086E-3</v>
      </c>
      <c r="K5">
        <f t="shared" ref="K5:K68" si="5">B5/$B$97*$F$99</f>
        <v>5.4467096266675554</v>
      </c>
      <c r="L5" s="15">
        <f t="shared" ref="L5:L68" si="6">+INDEX($R$4:$U$96,MATCH(R5,$S$4:$S$96,0),4)</f>
        <v>2156.5459999999998</v>
      </c>
      <c r="M5" t="s">
        <v>388</v>
      </c>
      <c r="O5" s="192">
        <f>+F93</f>
        <v>77.438065690372426</v>
      </c>
      <c r="P5" s="192">
        <f>+G93</f>
        <v>10954.41257439115</v>
      </c>
      <c r="Q5" s="15" t="str">
        <f t="shared" ref="Q5:Q68" si="7">+INDEX($R$4:$X$96,MATCH(R5,$S$4:$S$96,0),6)</f>
        <v>004</v>
      </c>
      <c r="R5" s="170" t="s">
        <v>117</v>
      </c>
      <c r="S5" s="203" t="s">
        <v>417</v>
      </c>
      <c r="T5" s="203">
        <v>845</v>
      </c>
      <c r="U5" s="204">
        <v>1039.1500000000001</v>
      </c>
      <c r="W5" s="250" t="s">
        <v>219</v>
      </c>
      <c r="X5" s="251" t="s">
        <v>417</v>
      </c>
    </row>
    <row r="6" spans="1:24" ht="29">
      <c r="A6" s="170" t="s">
        <v>118</v>
      </c>
      <c r="B6" s="194">
        <f>+'[1]Resum dades per a Ajuntaments'!$N4</f>
        <v>1427.7611137522067</v>
      </c>
      <c r="C6" s="135">
        <f>+'[1]Resum dades per a Ajuntaments'!$L4</f>
        <v>0</v>
      </c>
      <c r="D6" s="135">
        <f>+'[1]Resum dades per a Ajuntaments'!$M4</f>
        <v>0</v>
      </c>
      <c r="E6" s="194">
        <f t="shared" si="0"/>
        <v>1427.7611137522067</v>
      </c>
      <c r="F6" s="165">
        <f t="shared" si="1"/>
        <v>10.168962246095937</v>
      </c>
      <c r="G6" s="113">
        <f t="shared" si="2"/>
        <v>1438.504524926318</v>
      </c>
      <c r="H6" s="113">
        <f t="shared" si="3"/>
        <v>1.1490352820447388E-2</v>
      </c>
      <c r="I6" s="113">
        <f t="shared" si="4"/>
        <v>1.0935884213389264E-2</v>
      </c>
      <c r="K6">
        <f t="shared" si="5"/>
        <v>10.168962246095937</v>
      </c>
      <c r="L6" s="15">
        <f t="shared" si="6"/>
        <v>2938.35</v>
      </c>
      <c r="Q6" s="15" t="str">
        <f t="shared" si="7"/>
        <v>042</v>
      </c>
      <c r="R6" s="170" t="s">
        <v>118</v>
      </c>
      <c r="S6" s="203" t="s">
        <v>418</v>
      </c>
      <c r="T6" s="203">
        <v>1678</v>
      </c>
      <c r="U6" s="204">
        <v>2156.5459999999998</v>
      </c>
      <c r="W6" s="250" t="s">
        <v>211</v>
      </c>
      <c r="X6" s="251" t="s">
        <v>418</v>
      </c>
    </row>
    <row r="7" spans="1:24" ht="29">
      <c r="A7" s="170" t="s">
        <v>120</v>
      </c>
      <c r="B7" s="194">
        <f>+'[1]Resum dades per a Ajuntaments'!$N5</f>
        <v>47.190930122041152</v>
      </c>
      <c r="C7" s="135">
        <f>+'[1]Resum dades per a Ajuntaments'!$L5</f>
        <v>0</v>
      </c>
      <c r="D7" s="135">
        <f>+'[1]Resum dades per a Ajuntaments'!$M5</f>
        <v>0</v>
      </c>
      <c r="E7" s="194">
        <f t="shared" si="0"/>
        <v>47.190930122041152</v>
      </c>
      <c r="F7" s="165">
        <f t="shared" si="1"/>
        <v>0.33610859838312801</v>
      </c>
      <c r="G7" s="113">
        <f t="shared" si="2"/>
        <v>47.546025635643879</v>
      </c>
      <c r="H7" s="113">
        <f t="shared" si="3"/>
        <v>3.7978372698658537E-4</v>
      </c>
      <c r="I7" s="113">
        <f t="shared" si="4"/>
        <v>3.614572093090024E-4</v>
      </c>
      <c r="K7">
        <f t="shared" si="5"/>
        <v>0.33610859838312801</v>
      </c>
      <c r="L7" s="15">
        <f t="shared" si="6"/>
        <v>159.69800000000001</v>
      </c>
      <c r="Q7" s="15" t="str">
        <f t="shared" si="7"/>
        <v>043</v>
      </c>
      <c r="R7" s="170" t="s">
        <v>120</v>
      </c>
      <c r="S7" s="203" t="s">
        <v>419</v>
      </c>
      <c r="T7" s="203">
        <v>3817</v>
      </c>
      <c r="U7" s="204">
        <v>4560.3689999999997</v>
      </c>
      <c r="W7" s="250" t="s">
        <v>214</v>
      </c>
      <c r="X7" s="251" t="s">
        <v>419</v>
      </c>
    </row>
    <row r="8" spans="1:24">
      <c r="A8" s="170" t="s">
        <v>121</v>
      </c>
      <c r="B8" s="194">
        <f>+'[1]Resum dades per a Ajuntaments'!$N6</f>
        <v>1939.8648036063855</v>
      </c>
      <c r="C8" s="135">
        <f>+'[1]Resum dades per a Ajuntaments'!$L6</f>
        <v>0</v>
      </c>
      <c r="D8" s="135">
        <f>+'[1]Resum dades per a Ajuntaments'!$M6</f>
        <v>0</v>
      </c>
      <c r="E8" s="194">
        <f t="shared" si="0"/>
        <v>1939.8648036063855</v>
      </c>
      <c r="F8" s="165">
        <f t="shared" si="1"/>
        <v>13.816325266459971</v>
      </c>
      <c r="G8" s="113">
        <f t="shared" si="2"/>
        <v>1954.4616188625175</v>
      </c>
      <c r="H8" s="113">
        <f t="shared" si="3"/>
        <v>1.5611666967751384E-2</v>
      </c>
      <c r="I8" s="113">
        <f t="shared" si="4"/>
        <v>1.4858323761260757E-2</v>
      </c>
      <c r="K8">
        <f t="shared" si="5"/>
        <v>13.816325266459971</v>
      </c>
      <c r="L8" s="15">
        <f t="shared" si="6"/>
        <v>4560.3689999999997</v>
      </c>
      <c r="Q8" s="15" t="str">
        <f t="shared" si="7"/>
        <v>006</v>
      </c>
      <c r="R8" s="170" t="s">
        <v>121</v>
      </c>
      <c r="S8" s="203" t="s">
        <v>500</v>
      </c>
      <c r="T8" s="203">
        <v>2958</v>
      </c>
      <c r="U8" s="204">
        <v>3398.136</v>
      </c>
      <c r="W8" s="250" t="s">
        <v>260</v>
      </c>
      <c r="X8" s="251" t="s">
        <v>527</v>
      </c>
    </row>
    <row r="9" spans="1:24">
      <c r="A9" s="170" t="s">
        <v>124</v>
      </c>
      <c r="B9" s="194">
        <f>+'[1]Resum dades per a Ajuntaments'!$N7</f>
        <v>394.19192953564385</v>
      </c>
      <c r="C9" s="135">
        <f>+'[1]Resum dades per a Ajuntaments'!$L7</f>
        <v>0</v>
      </c>
      <c r="D9" s="135">
        <f>+'[1]Resum dades per a Ajuntaments'!$M7</f>
        <v>0</v>
      </c>
      <c r="E9" s="194">
        <f t="shared" si="0"/>
        <v>394.19192953564385</v>
      </c>
      <c r="F9" s="165">
        <f t="shared" si="1"/>
        <v>2.8075584987947546</v>
      </c>
      <c r="G9" s="113">
        <f t="shared" si="2"/>
        <v>397.15808818762457</v>
      </c>
      <c r="H9" s="113">
        <f t="shared" si="3"/>
        <v>3.1723824845138471E-3</v>
      </c>
      <c r="I9" s="113">
        <f t="shared" si="4"/>
        <v>3.0192987172239678E-3</v>
      </c>
      <c r="K9">
        <f t="shared" si="5"/>
        <v>2.8075584987947546</v>
      </c>
      <c r="L9" s="15">
        <f>+INDEX($R$4:$U$96,MATCH(R9,$S$4:$S$96,0),4)</f>
        <v>814.65</v>
      </c>
      <c r="Q9" s="15" t="str">
        <f t="shared" si="7"/>
        <v>027</v>
      </c>
      <c r="R9" s="170" t="s">
        <v>124</v>
      </c>
      <c r="S9" s="203" t="s">
        <v>420</v>
      </c>
      <c r="T9" s="203">
        <v>303</v>
      </c>
      <c r="U9" s="204">
        <v>313.64999999999998</v>
      </c>
      <c r="W9" s="250" t="s">
        <v>215</v>
      </c>
      <c r="X9" s="251" t="s">
        <v>420</v>
      </c>
    </row>
    <row r="10" spans="1:24">
      <c r="A10" s="170" t="s">
        <v>337</v>
      </c>
      <c r="B10" s="194">
        <f>+'[1]Resum dades per a Ajuntaments'!$N8</f>
        <v>145.41999999999999</v>
      </c>
      <c r="C10" s="135">
        <f>+'[1]Resum dades per a Ajuntaments'!$L8</f>
        <v>0</v>
      </c>
      <c r="D10" s="135">
        <f>+'[1]Resum dades per a Ajuntaments'!$M8</f>
        <v>2.66</v>
      </c>
      <c r="E10" s="194">
        <f t="shared" si="0"/>
        <v>148.07999999999998</v>
      </c>
      <c r="F10" s="165">
        <f t="shared" si="1"/>
        <v>1.0357268282374001</v>
      </c>
      <c r="G10" s="113">
        <f t="shared" si="2"/>
        <v>146.51423546970926</v>
      </c>
      <c r="H10" s="113">
        <f t="shared" si="3"/>
        <v>1.170312800268249E-3</v>
      </c>
      <c r="I10" s="113">
        <f t="shared" si="4"/>
        <v>1.1138391898990103E-3</v>
      </c>
      <c r="K10">
        <f t="shared" si="5"/>
        <v>1.0357268282374001</v>
      </c>
      <c r="L10" s="15">
        <f t="shared" si="6"/>
        <v>313.64999999999998</v>
      </c>
      <c r="Q10" s="15" t="str">
        <f t="shared" si="7"/>
        <v>023</v>
      </c>
      <c r="R10" s="170" t="s">
        <v>337</v>
      </c>
      <c r="S10" s="203" t="s">
        <v>480</v>
      </c>
      <c r="T10" s="203">
        <v>699</v>
      </c>
      <c r="U10" s="204">
        <v>814.65</v>
      </c>
      <c r="W10" s="250" t="s">
        <v>216</v>
      </c>
      <c r="X10" s="251" t="s">
        <v>528</v>
      </c>
    </row>
    <row r="11" spans="1:24">
      <c r="A11" s="170" t="s">
        <v>125</v>
      </c>
      <c r="B11" s="194">
        <f>+'[1]Resum dades per a Ajuntaments'!$N9</f>
        <v>77.100000000000009</v>
      </c>
      <c r="C11" s="135">
        <f>+'[1]Resum dades per a Ajuntaments'!$L9</f>
        <v>0</v>
      </c>
      <c r="D11" s="135">
        <f>+'[1]Resum dades per a Ajuntaments'!$M9</f>
        <v>2.58</v>
      </c>
      <c r="E11" s="194">
        <f t="shared" si="0"/>
        <v>79.680000000000007</v>
      </c>
      <c r="F11" s="165">
        <f t="shared" si="1"/>
        <v>0.54913037035554657</v>
      </c>
      <c r="G11" s="113">
        <f t="shared" si="2"/>
        <v>77.680150974519222</v>
      </c>
      <c r="H11" s="113">
        <f t="shared" si="3"/>
        <v>6.2048629418705824E-4</v>
      </c>
      <c r="I11" s="113">
        <f t="shared" si="4"/>
        <v>5.9054463994783195E-4</v>
      </c>
      <c r="K11">
        <f t="shared" si="5"/>
        <v>0.54913037035554657</v>
      </c>
      <c r="L11" s="15">
        <f t="shared" si="6"/>
        <v>192</v>
      </c>
      <c r="Q11" s="15" t="str">
        <f t="shared" si="7"/>
        <v>033</v>
      </c>
      <c r="R11" s="170" t="s">
        <v>125</v>
      </c>
      <c r="S11" s="203" t="s">
        <v>481</v>
      </c>
      <c r="T11" s="203">
        <v>187</v>
      </c>
      <c r="U11" s="204">
        <v>192</v>
      </c>
      <c r="W11" s="250" t="s">
        <v>217</v>
      </c>
      <c r="X11" s="251" t="s">
        <v>529</v>
      </c>
    </row>
    <row r="12" spans="1:24">
      <c r="A12" s="170" t="s">
        <v>126</v>
      </c>
      <c r="B12" s="194">
        <f>+'[1]Resum dades per a Ajuntaments'!$N10</f>
        <v>728.75999999999988</v>
      </c>
      <c r="C12" s="135">
        <f>+'[1]Resum dades per a Ajuntaments'!$L10</f>
        <v>0</v>
      </c>
      <c r="D12" s="135">
        <f>+'[1]Resum dades per a Ajuntaments'!$M10</f>
        <v>0</v>
      </c>
      <c r="E12" s="194">
        <f t="shared" si="0"/>
        <v>728.75999999999988</v>
      </c>
      <c r="F12" s="165">
        <f t="shared" si="1"/>
        <v>5.1904571815863552</v>
      </c>
      <c r="G12" s="113">
        <f t="shared" si="2"/>
        <v>734.24366827743984</v>
      </c>
      <c r="H12" s="113">
        <f t="shared" si="3"/>
        <v>5.86492336902413E-3</v>
      </c>
      <c r="I12" s="113">
        <f t="shared" si="4"/>
        <v>5.5819106589932799E-3</v>
      </c>
      <c r="K12">
        <f t="shared" si="5"/>
        <v>5.1904571815863552</v>
      </c>
      <c r="L12" s="15">
        <f t="shared" si="6"/>
        <v>1446.7</v>
      </c>
      <c r="Q12" s="15" t="str">
        <f t="shared" si="7"/>
        <v>034</v>
      </c>
      <c r="R12" s="170" t="s">
        <v>126</v>
      </c>
      <c r="S12" s="203" t="s">
        <v>421</v>
      </c>
      <c r="T12" s="203">
        <v>1329</v>
      </c>
      <c r="U12" s="204">
        <v>1446.7</v>
      </c>
      <c r="W12" s="250" t="s">
        <v>218</v>
      </c>
      <c r="X12" s="251" t="s">
        <v>421</v>
      </c>
    </row>
    <row r="13" spans="1:24">
      <c r="A13" s="170" t="s">
        <v>115</v>
      </c>
      <c r="B13" s="194">
        <f>+'[1]Resum dades per a Ajuntaments'!$N11</f>
        <v>962.24039400000004</v>
      </c>
      <c r="C13" s="135">
        <f>+'[1]Resum dades per a Ajuntaments'!$L11</f>
        <v>0</v>
      </c>
      <c r="D13" s="135">
        <f>+'[1]Resum dades per a Ajuntaments'!$M11</f>
        <v>0</v>
      </c>
      <c r="E13" s="194">
        <f t="shared" si="0"/>
        <v>962.24039400000004</v>
      </c>
      <c r="F13" s="165">
        <f t="shared" si="1"/>
        <v>6.8533777422605304</v>
      </c>
      <c r="G13" s="113">
        <f t="shared" si="2"/>
        <v>969.48092191570504</v>
      </c>
      <c r="H13" s="113">
        <f t="shared" si="3"/>
        <v>7.7439296522717879E-3</v>
      </c>
      <c r="I13" s="113">
        <f t="shared" si="4"/>
        <v>7.370245227211282E-3</v>
      </c>
      <c r="K13">
        <f t="shared" si="5"/>
        <v>6.8533777422605304</v>
      </c>
      <c r="L13" s="15">
        <f t="shared" si="6"/>
        <v>1946.585</v>
      </c>
      <c r="Q13" s="15" t="str">
        <f t="shared" si="7"/>
        <v>039</v>
      </c>
      <c r="R13" s="170" t="s">
        <v>115</v>
      </c>
      <c r="S13" s="203" t="s">
        <v>510</v>
      </c>
      <c r="T13" s="203">
        <v>862</v>
      </c>
      <c r="U13" s="204">
        <v>1141.961</v>
      </c>
      <c r="W13" s="250" t="s">
        <v>261</v>
      </c>
      <c r="X13" s="251" t="s">
        <v>530</v>
      </c>
    </row>
    <row r="14" spans="1:24" ht="29">
      <c r="A14" s="170" t="s">
        <v>127</v>
      </c>
      <c r="B14" s="194">
        <f>+'[1]Resum dades per a Ajuntaments'!$N12</f>
        <v>315.3716519643595</v>
      </c>
      <c r="C14" s="135">
        <f>+'[1]Resum dades per a Ajuntaments'!$L12</f>
        <v>0</v>
      </c>
      <c r="D14" s="135">
        <f>+'[1]Resum dades per a Ajuntaments'!$M12</f>
        <v>13.991552894211576</v>
      </c>
      <c r="E14" s="194">
        <f t="shared" si="0"/>
        <v>329.36320485857107</v>
      </c>
      <c r="F14" s="165">
        <f t="shared" si="1"/>
        <v>2.2461757722805347</v>
      </c>
      <c r="G14" s="113">
        <f t="shared" si="2"/>
        <v>317.74471514494132</v>
      </c>
      <c r="H14" s="113">
        <f t="shared" si="3"/>
        <v>2.5380517200910002E-3</v>
      </c>
      <c r="I14" s="113">
        <f t="shared" si="4"/>
        <v>2.4155776739175827E-3</v>
      </c>
      <c r="K14">
        <f t="shared" si="5"/>
        <v>2.2461757722805347</v>
      </c>
      <c r="L14" s="15">
        <f t="shared" si="6"/>
        <v>1039.1500000000001</v>
      </c>
      <c r="Q14" s="15" t="str">
        <f t="shared" si="7"/>
        <v>003</v>
      </c>
      <c r="R14" s="170" t="s">
        <v>127</v>
      </c>
      <c r="S14" s="203" t="s">
        <v>422</v>
      </c>
      <c r="T14" s="203">
        <v>1742</v>
      </c>
      <c r="U14" s="204">
        <v>1946.585</v>
      </c>
      <c r="W14" s="250" t="s">
        <v>209</v>
      </c>
      <c r="X14" s="251" t="s">
        <v>422</v>
      </c>
    </row>
    <row r="15" spans="1:24">
      <c r="A15" s="188" t="s">
        <v>128</v>
      </c>
      <c r="B15" s="195">
        <f>+'[1]Resum dades per a Ajuntaments'!$N13</f>
        <v>1593.3100000000002</v>
      </c>
      <c r="C15" s="189">
        <f>+'[1]Resum dades per a Ajuntaments'!$L13</f>
        <v>23.7</v>
      </c>
      <c r="D15" s="189">
        <f>+'[1]Resum dades per a Ajuntaments'!$M13</f>
        <v>0</v>
      </c>
      <c r="E15" s="195">
        <f t="shared" si="0"/>
        <v>1617.0100000000002</v>
      </c>
      <c r="F15" s="190">
        <f>K15</f>
        <v>42</v>
      </c>
      <c r="G15" s="191">
        <f t="shared" si="2"/>
        <v>1605.2991095876941</v>
      </c>
      <c r="H15" s="191">
        <f t="shared" si="3"/>
        <v>1.2822659110132058E-2</v>
      </c>
      <c r="I15" s="191">
        <f t="shared" si="4"/>
        <v>4.5167552582731446E-2</v>
      </c>
      <c r="K15" s="196">
        <v>42</v>
      </c>
      <c r="L15" s="15">
        <f t="shared" si="6"/>
        <v>4154.2139999999999</v>
      </c>
      <c r="Q15" s="15" t="str">
        <f t="shared" si="7"/>
        <v>044</v>
      </c>
      <c r="R15" s="188" t="s">
        <v>128</v>
      </c>
      <c r="S15" s="203" t="s">
        <v>423</v>
      </c>
      <c r="T15" s="203">
        <v>2572</v>
      </c>
      <c r="U15" s="204">
        <v>2938.35</v>
      </c>
      <c r="W15" s="250" t="s">
        <v>212</v>
      </c>
      <c r="X15" s="251" t="s">
        <v>423</v>
      </c>
    </row>
    <row r="16" spans="1:24">
      <c r="A16" s="170" t="s">
        <v>131</v>
      </c>
      <c r="B16" s="194">
        <f>+'[1]Resum dades per a Ajuntaments'!$N14</f>
        <v>450.15700000000004</v>
      </c>
      <c r="C16" s="135">
        <f>+'[1]Resum dades per a Ajuntaments'!$L14</f>
        <v>0</v>
      </c>
      <c r="D16" s="135">
        <f>+'[1]Resum dades per a Ajuntaments'!$M14</f>
        <v>0</v>
      </c>
      <c r="E16" s="194">
        <f t="shared" si="0"/>
        <v>450.15700000000004</v>
      </c>
      <c r="F16" s="165">
        <f t="shared" si="1"/>
        <v>3.2061592753325776</v>
      </c>
      <c r="G16" s="113">
        <f t="shared" si="2"/>
        <v>453.54427655300452</v>
      </c>
      <c r="H16" s="113">
        <f t="shared" si="3"/>
        <v>3.622778842183704E-3</v>
      </c>
      <c r="I16" s="113">
        <f t="shared" si="4"/>
        <v>3.4479611346951511E-3</v>
      </c>
      <c r="K16">
        <f t="shared" si="5"/>
        <v>3.2061592753325776</v>
      </c>
      <c r="L16" s="15">
        <f t="shared" si="6"/>
        <v>1144.1600000000001</v>
      </c>
      <c r="Q16" s="15" t="str">
        <f t="shared" si="7"/>
        <v>045</v>
      </c>
      <c r="R16" s="170" t="s">
        <v>131</v>
      </c>
      <c r="S16" s="203" t="s">
        <v>424</v>
      </c>
      <c r="T16" s="203">
        <v>153</v>
      </c>
      <c r="U16" s="204">
        <v>159.69800000000001</v>
      </c>
      <c r="W16" s="250" t="s">
        <v>213</v>
      </c>
      <c r="X16" s="251" t="s">
        <v>424</v>
      </c>
    </row>
    <row r="17" spans="1:24">
      <c r="A17" s="170" t="s">
        <v>132</v>
      </c>
      <c r="B17" s="194">
        <f>+'[1]Resum dades per a Ajuntaments'!$N15</f>
        <v>175.84859127855646</v>
      </c>
      <c r="C17" s="135">
        <f>+'[1]Resum dades per a Ajuntaments'!$L15</f>
        <v>0</v>
      </c>
      <c r="D17" s="135">
        <f>+'[1]Resum dades per a Ajuntaments'!$M15</f>
        <v>7.8023283433133734</v>
      </c>
      <c r="E17" s="194">
        <f t="shared" si="0"/>
        <v>183.65091962186983</v>
      </c>
      <c r="F17" s="165">
        <f t="shared" si="1"/>
        <v>1.2524487944915021</v>
      </c>
      <c r="G17" s="113">
        <f t="shared" si="2"/>
        <v>177.17179142898559</v>
      </c>
      <c r="H17" s="113">
        <f t="shared" si="3"/>
        <v>1.4151963779564999E-3</v>
      </c>
      <c r="I17" s="113">
        <f t="shared" si="4"/>
        <v>1.3469058757707983E-3</v>
      </c>
      <c r="K17">
        <f t="shared" si="5"/>
        <v>1.2524487944915021</v>
      </c>
      <c r="L17" s="15">
        <f t="shared" si="6"/>
        <v>522.54999999999995</v>
      </c>
      <c r="Q17" s="15" t="str">
        <f t="shared" si="7"/>
        <v>047</v>
      </c>
      <c r="R17" s="170" t="s">
        <v>132</v>
      </c>
      <c r="S17" s="203" t="s">
        <v>425</v>
      </c>
      <c r="T17" s="203">
        <v>3814</v>
      </c>
      <c r="U17" s="204">
        <v>4154.2139999999999</v>
      </c>
      <c r="W17" s="250" t="s">
        <v>220</v>
      </c>
      <c r="X17" s="251" t="s">
        <v>425</v>
      </c>
    </row>
    <row r="18" spans="1:24">
      <c r="A18" s="170" t="s">
        <v>133</v>
      </c>
      <c r="B18" s="194">
        <f>+'[1]Resum dades per a Ajuntaments'!$N16</f>
        <v>1902.1</v>
      </c>
      <c r="C18" s="135">
        <f>+'[1]Resum dades per a Ajuntaments'!$L16</f>
        <v>0</v>
      </c>
      <c r="D18" s="135">
        <f>+'[1]Resum dades per a Ajuntaments'!$M16</f>
        <v>7.18</v>
      </c>
      <c r="E18" s="194">
        <f t="shared" si="0"/>
        <v>1909.28</v>
      </c>
      <c r="F18" s="165">
        <f t="shared" si="1"/>
        <v>13.547352496151555</v>
      </c>
      <c r="G18" s="113">
        <f t="shared" si="2"/>
        <v>1916.4126481015953</v>
      </c>
      <c r="H18" s="113">
        <f t="shared" si="3"/>
        <v>1.5307742933504584E-2</v>
      </c>
      <c r="I18" s="113">
        <f t="shared" si="4"/>
        <v>1.4569065624445798E-2</v>
      </c>
      <c r="K18">
        <f t="shared" si="5"/>
        <v>13.547352496151555</v>
      </c>
      <c r="L18" s="15">
        <f t="shared" si="6"/>
        <v>5033.8</v>
      </c>
      <c r="Q18" s="15" t="str">
        <f t="shared" si="7"/>
        <v>048</v>
      </c>
      <c r="R18" s="170" t="s">
        <v>133</v>
      </c>
      <c r="S18" s="203" t="s">
        <v>426</v>
      </c>
      <c r="T18" s="203">
        <v>1075</v>
      </c>
      <c r="U18" s="204">
        <v>1144.1600000000001</v>
      </c>
      <c r="W18" s="250" t="s">
        <v>223</v>
      </c>
      <c r="X18" s="251" t="s">
        <v>426</v>
      </c>
    </row>
    <row r="19" spans="1:24">
      <c r="A19" s="170" t="s">
        <v>134</v>
      </c>
      <c r="B19" s="194">
        <f>+'[1]Resum dades per a Ajuntaments'!$N17</f>
        <v>16.454404506438991</v>
      </c>
      <c r="C19" s="135">
        <f>+'[1]Resum dades per a Ajuntaments'!$L17</f>
        <v>26.483000000000001</v>
      </c>
      <c r="D19" s="135">
        <f>+'[1]Resum dades per a Ajuntaments'!$M17</f>
        <v>0</v>
      </c>
      <c r="E19" s="194">
        <f t="shared" si="0"/>
        <v>42.937404506438995</v>
      </c>
      <c r="F19" s="165">
        <f t="shared" si="1"/>
        <v>0.11719342724514675</v>
      </c>
      <c r="G19" s="113">
        <f t="shared" si="2"/>
        <v>16.578218239377303</v>
      </c>
      <c r="H19" s="113">
        <f t="shared" si="3"/>
        <v>1.3242195168943139E-4</v>
      </c>
      <c r="I19" s="113">
        <f t="shared" si="4"/>
        <v>1.2603191160584948E-4</v>
      </c>
      <c r="K19">
        <f t="shared" si="5"/>
        <v>0.11719342724514675</v>
      </c>
      <c r="L19" s="15">
        <f t="shared" si="6"/>
        <v>260.7</v>
      </c>
      <c r="Q19" s="15" t="str">
        <f t="shared" si="7"/>
        <v>049</v>
      </c>
      <c r="R19" s="170" t="s">
        <v>134</v>
      </c>
      <c r="S19" s="203" t="s">
        <v>482</v>
      </c>
      <c r="T19" s="203">
        <v>447</v>
      </c>
      <c r="U19" s="204">
        <v>522.54999999999995</v>
      </c>
      <c r="W19" s="250" t="s">
        <v>224</v>
      </c>
      <c r="X19" s="251" t="s">
        <v>531</v>
      </c>
    </row>
    <row r="20" spans="1:24">
      <c r="A20" s="170" t="s">
        <v>129</v>
      </c>
      <c r="B20" s="194">
        <f>+'[1]Resum dades per a Ajuntaments'!$N18</f>
        <v>572.30000000000007</v>
      </c>
      <c r="C20" s="135">
        <f>+'[1]Resum dades per a Ajuntaments'!$L18</f>
        <v>0</v>
      </c>
      <c r="D20" s="135">
        <f>+'[1]Resum dades per a Ajuntaments'!$M18</f>
        <v>4.34</v>
      </c>
      <c r="E20" s="194">
        <f t="shared" si="0"/>
        <v>576.6400000000001</v>
      </c>
      <c r="F20" s="165">
        <f t="shared" si="1"/>
        <v>4.0761000123797571</v>
      </c>
      <c r="G20" s="113">
        <f t="shared" si="2"/>
        <v>576.60636060593197</v>
      </c>
      <c r="H20" s="113">
        <f t="shared" si="3"/>
        <v>4.6057627258528338E-3</v>
      </c>
      <c r="I20" s="113">
        <f t="shared" si="4"/>
        <v>4.3835109914674994E-3</v>
      </c>
      <c r="K20">
        <f t="shared" si="5"/>
        <v>4.0761000123797571</v>
      </c>
      <c r="L20" s="15">
        <f t="shared" si="6"/>
        <v>1207.4000000000001</v>
      </c>
      <c r="Q20" s="15" t="str">
        <f t="shared" si="7"/>
        <v>055</v>
      </c>
      <c r="R20" s="170" t="s">
        <v>129</v>
      </c>
      <c r="S20" s="203" t="s">
        <v>427</v>
      </c>
      <c r="T20" s="203">
        <v>4688</v>
      </c>
      <c r="U20" s="204">
        <v>5033.8</v>
      </c>
      <c r="W20" s="250" t="s">
        <v>225</v>
      </c>
      <c r="X20" s="251" t="s">
        <v>427</v>
      </c>
    </row>
    <row r="21" spans="1:24">
      <c r="A21" s="170" t="s">
        <v>135</v>
      </c>
      <c r="B21" s="194">
        <f>+'[1]Resum dades per a Ajuntaments'!$N19</f>
        <v>56.965036611363352</v>
      </c>
      <c r="C21" s="135">
        <f>+'[1]Resum dades per a Ajuntaments'!$L19</f>
        <v>0</v>
      </c>
      <c r="D21" s="135">
        <f>+'[1]Resum dades per a Ajuntaments'!$M19</f>
        <v>2.5300259481037926</v>
      </c>
      <c r="E21" s="194">
        <f t="shared" si="0"/>
        <v>59.495062559467144</v>
      </c>
      <c r="F21" s="165">
        <f t="shared" si="1"/>
        <v>0.40572284891978233</v>
      </c>
      <c r="G21" s="113">
        <f t="shared" si="2"/>
        <v>57.393678913615041</v>
      </c>
      <c r="H21" s="113">
        <f t="shared" si="3"/>
        <v>4.5844389708449989E-4</v>
      </c>
      <c r="I21" s="113">
        <f t="shared" si="4"/>
        <v>4.3632162172856846E-4</v>
      </c>
      <c r="K21">
        <f t="shared" si="5"/>
        <v>0.40572284891978233</v>
      </c>
      <c r="L21" s="15">
        <f t="shared" si="6"/>
        <v>204.994</v>
      </c>
      <c r="Q21" s="15" t="str">
        <f t="shared" si="7"/>
        <v>056</v>
      </c>
      <c r="R21" s="170" t="s">
        <v>135</v>
      </c>
      <c r="S21" s="203" t="s">
        <v>485</v>
      </c>
      <c r="T21" s="203">
        <v>242</v>
      </c>
      <c r="U21" s="204">
        <v>260.7</v>
      </c>
      <c r="W21" s="250" t="s">
        <v>226</v>
      </c>
      <c r="X21" s="251" t="s">
        <v>532</v>
      </c>
    </row>
    <row r="22" spans="1:24">
      <c r="A22" s="170" t="s">
        <v>136</v>
      </c>
      <c r="B22" s="194">
        <f>+'[1]Resum dades per a Ajuntaments'!$N20</f>
        <v>169.716778812401</v>
      </c>
      <c r="C22" s="135">
        <f>+'[1]Resum dades per a Ajuntaments'!$L20</f>
        <v>0</v>
      </c>
      <c r="D22" s="135">
        <f>+'[1]Resum dades per a Ajuntaments'!$M20</f>
        <v>0</v>
      </c>
      <c r="E22" s="194">
        <f t="shared" si="0"/>
        <v>169.716778812401</v>
      </c>
      <c r="F22" s="165">
        <f t="shared" si="1"/>
        <v>1.2087761038236591</v>
      </c>
      <c r="G22" s="113">
        <f t="shared" si="2"/>
        <v>170.99383918361082</v>
      </c>
      <c r="H22" s="113">
        <f t="shared" si="3"/>
        <v>1.3658487048854907E-3</v>
      </c>
      <c r="I22" s="113">
        <f t="shared" si="4"/>
        <v>1.2999394816715325E-3</v>
      </c>
      <c r="K22">
        <f t="shared" si="5"/>
        <v>1.2087761038236591</v>
      </c>
      <c r="L22" s="15">
        <f t="shared" si="6"/>
        <v>529.19000000000005</v>
      </c>
      <c r="Q22" s="15" t="str">
        <f t="shared" si="7"/>
        <v>057</v>
      </c>
      <c r="R22" s="170" t="s">
        <v>136</v>
      </c>
      <c r="S22" s="203" t="s">
        <v>483</v>
      </c>
      <c r="T22" s="203">
        <v>1101</v>
      </c>
      <c r="U22" s="204">
        <v>1207.4000000000001</v>
      </c>
      <c r="W22" s="250" t="s">
        <v>221</v>
      </c>
      <c r="X22" s="251" t="s">
        <v>533</v>
      </c>
    </row>
    <row r="23" spans="1:24">
      <c r="A23" s="170" t="s">
        <v>130</v>
      </c>
      <c r="B23" s="194">
        <f>+'[1]Resum dades per a Ajuntaments'!$N21</f>
        <v>150.02000000000001</v>
      </c>
      <c r="C23" s="135">
        <f>+'[1]Resum dades per a Ajuntaments'!$L21</f>
        <v>0</v>
      </c>
      <c r="D23" s="135">
        <f>+'[1]Resum dades per a Ajuntaments'!$M21</f>
        <v>0</v>
      </c>
      <c r="E23" s="194">
        <f t="shared" si="0"/>
        <v>150.02000000000001</v>
      </c>
      <c r="F23" s="165">
        <f t="shared" si="1"/>
        <v>1.0684894703078998</v>
      </c>
      <c r="G23" s="113">
        <f t="shared" si="2"/>
        <v>151.14884888712547</v>
      </c>
      <c r="H23" s="113">
        <f t="shared" si="3"/>
        <v>1.2073327348111865E-3</v>
      </c>
      <c r="I23" s="113">
        <f t="shared" si="4"/>
        <v>1.1490727222434984E-3</v>
      </c>
      <c r="K23">
        <f t="shared" si="5"/>
        <v>1.0684894703078998</v>
      </c>
      <c r="L23" s="15">
        <f t="shared" si="6"/>
        <v>459.25</v>
      </c>
      <c r="Q23" s="15" t="str">
        <f t="shared" si="7"/>
        <v>061</v>
      </c>
      <c r="R23" s="170" t="s">
        <v>130</v>
      </c>
      <c r="S23" s="203" t="s">
        <v>428</v>
      </c>
      <c r="T23" s="203">
        <v>195</v>
      </c>
      <c r="U23" s="204">
        <v>204.994</v>
      </c>
      <c r="W23" s="250" t="s">
        <v>227</v>
      </c>
      <c r="X23" s="251" t="s">
        <v>428</v>
      </c>
    </row>
    <row r="24" spans="1:24">
      <c r="A24" s="170" t="s">
        <v>338</v>
      </c>
      <c r="B24" s="194">
        <f>+'[1]Resum dades per a Ajuntaments'!$N22</f>
        <v>1705.2566132170125</v>
      </c>
      <c r="C24" s="135">
        <f>+'[1]Resum dades per a Ajuntaments'!$L22</f>
        <v>0</v>
      </c>
      <c r="D24" s="135">
        <f>+'[1]Resum dades per a Ajuntaments'!$M22</f>
        <v>0</v>
      </c>
      <c r="E24" s="194">
        <f t="shared" si="0"/>
        <v>1705.2566132170125</v>
      </c>
      <c r="F24" s="165">
        <f t="shared" si="1"/>
        <v>12.145372186343748</v>
      </c>
      <c r="G24" s="113">
        <f t="shared" si="2"/>
        <v>1718.0880825550564</v>
      </c>
      <c r="H24" s="113">
        <f t="shared" si="3"/>
        <v>1.3723584391348869E-2</v>
      </c>
      <c r="I24" s="113">
        <f t="shared" si="4"/>
        <v>1.3061350877702981E-2</v>
      </c>
      <c r="K24">
        <f t="shared" si="5"/>
        <v>12.145372186343748</v>
      </c>
      <c r="L24" s="15">
        <f t="shared" si="6"/>
        <v>4272.83</v>
      </c>
      <c r="Q24" s="15" t="str">
        <f t="shared" si="7"/>
        <v>062</v>
      </c>
      <c r="R24" s="170" t="s">
        <v>338</v>
      </c>
      <c r="S24" s="203" t="s">
        <v>429</v>
      </c>
      <c r="T24" s="203">
        <v>445</v>
      </c>
      <c r="U24" s="204">
        <v>529.19000000000005</v>
      </c>
      <c r="W24" s="250" t="s">
        <v>228</v>
      </c>
      <c r="X24" s="251" t="s">
        <v>429</v>
      </c>
    </row>
    <row r="25" spans="1:24">
      <c r="A25" s="170" t="s">
        <v>137</v>
      </c>
      <c r="B25" s="194">
        <f>+'[1]Resum dades per a Ajuntaments'!$N23</f>
        <v>435.78000000000003</v>
      </c>
      <c r="C25" s="135">
        <f>+'[1]Resum dades per a Ajuntaments'!$L23</f>
        <v>0</v>
      </c>
      <c r="D25" s="135">
        <f>+'[1]Resum dades per a Ajuntaments'!$M23</f>
        <v>2.74</v>
      </c>
      <c r="E25" s="194">
        <f t="shared" si="0"/>
        <v>438.52000000000004</v>
      </c>
      <c r="F25" s="165">
        <f t="shared" si="1"/>
        <v>3.1037617742352794</v>
      </c>
      <c r="G25" s="113">
        <f t="shared" si="2"/>
        <v>439.05909457426702</v>
      </c>
      <c r="H25" s="113">
        <f t="shared" si="3"/>
        <v>3.5070754511133105E-3</v>
      </c>
      <c r="I25" s="113">
        <f t="shared" si="4"/>
        <v>3.3378410271915197E-3</v>
      </c>
      <c r="K25">
        <f t="shared" si="5"/>
        <v>3.1037617742352794</v>
      </c>
      <c r="L25" s="15">
        <f t="shared" si="6"/>
        <v>768.245</v>
      </c>
      <c r="Q25" s="15" t="str">
        <f t="shared" si="7"/>
        <v>068</v>
      </c>
      <c r="R25" s="170" t="s">
        <v>137</v>
      </c>
      <c r="S25" s="203" t="s">
        <v>484</v>
      </c>
      <c r="T25" s="203">
        <v>293</v>
      </c>
      <c r="U25" s="204">
        <v>459.25</v>
      </c>
      <c r="W25" s="250" t="s">
        <v>222</v>
      </c>
      <c r="X25" s="251" t="s">
        <v>534</v>
      </c>
    </row>
    <row r="26" spans="1:24">
      <c r="A26" s="170" t="s">
        <v>138</v>
      </c>
      <c r="B26" s="194">
        <f>+'[1]Resum dades per a Ajuntaments'!$N24</f>
        <v>147.70050934121087</v>
      </c>
      <c r="C26" s="135">
        <f>+'[1]Resum dades per a Ajuntaments'!$L24</f>
        <v>0</v>
      </c>
      <c r="D26" s="135">
        <f>+'[1]Resum dades per a Ajuntaments'!$M24</f>
        <v>0</v>
      </c>
      <c r="E26" s="194">
        <f t="shared" si="0"/>
        <v>147.70050934121087</v>
      </c>
      <c r="F26" s="165">
        <f t="shared" si="1"/>
        <v>1.0519693306905573</v>
      </c>
      <c r="G26" s="113">
        <f t="shared" si="2"/>
        <v>148.8119048591264</v>
      </c>
      <c r="H26" s="113">
        <f t="shared" si="3"/>
        <v>1.1886659103848107E-3</v>
      </c>
      <c r="I26" s="113">
        <f t="shared" si="4"/>
        <v>1.1313066680806322E-3</v>
      </c>
      <c r="K26">
        <f t="shared" si="5"/>
        <v>1.0519693306905573</v>
      </c>
      <c r="L26" s="15">
        <f t="shared" si="6"/>
        <v>442.60899999999998</v>
      </c>
      <c r="Q26" s="15" t="str">
        <f t="shared" si="7"/>
        <v>070</v>
      </c>
      <c r="R26" s="170" t="s">
        <v>138</v>
      </c>
      <c r="S26" s="203" t="s">
        <v>486</v>
      </c>
      <c r="T26" s="203">
        <v>3622</v>
      </c>
      <c r="U26" s="204">
        <v>4272.83</v>
      </c>
      <c r="W26" s="250" t="s">
        <v>229</v>
      </c>
      <c r="X26" s="251" t="s">
        <v>535</v>
      </c>
    </row>
    <row r="27" spans="1:24">
      <c r="A27" s="170" t="s">
        <v>339</v>
      </c>
      <c r="B27" s="194">
        <f>+'[1]Resum dades per a Ajuntaments'!$N25</f>
        <v>56.066499350262056</v>
      </c>
      <c r="C27" s="135">
        <f>+'[1]Resum dades per a Ajuntaments'!$L25</f>
        <v>0</v>
      </c>
      <c r="D27" s="135">
        <f>+'[1]Resum dades per a Ajuntaments'!$M25</f>
        <v>0</v>
      </c>
      <c r="E27" s="194">
        <f t="shared" si="0"/>
        <v>56.066499350262056</v>
      </c>
      <c r="F27" s="165">
        <f t="shared" si="1"/>
        <v>0.39932318486055002</v>
      </c>
      <c r="G27" s="113">
        <f t="shared" si="2"/>
        <v>56.488380468756681</v>
      </c>
      <c r="H27" s="113">
        <f t="shared" si="3"/>
        <v>4.5121263826050856E-4</v>
      </c>
      <c r="I27" s="113">
        <f t="shared" si="4"/>
        <v>4.2943930832601624E-4</v>
      </c>
      <c r="K27">
        <f t="shared" si="5"/>
        <v>0.39932318486055002</v>
      </c>
      <c r="L27" s="15">
        <f t="shared" si="6"/>
        <v>137.69999999999999</v>
      </c>
      <c r="Q27" s="15" t="str">
        <f t="shared" si="7"/>
        <v>071</v>
      </c>
      <c r="R27" s="170" t="s">
        <v>339</v>
      </c>
      <c r="S27" s="203" t="s">
        <v>487</v>
      </c>
      <c r="T27" s="203">
        <v>642</v>
      </c>
      <c r="U27" s="204">
        <v>768.245</v>
      </c>
      <c r="W27" s="250" t="s">
        <v>230</v>
      </c>
      <c r="X27" s="251" t="s">
        <v>536</v>
      </c>
    </row>
    <row r="28" spans="1:24">
      <c r="A28" s="170" t="s">
        <v>139</v>
      </c>
      <c r="B28" s="194">
        <f>+'[1]Resum dades per a Ajuntaments'!$N26</f>
        <v>269.91530699999998</v>
      </c>
      <c r="C28" s="135">
        <f>+'[1]Resum dades per a Ajuntaments'!$L26</f>
        <v>0</v>
      </c>
      <c r="D28" s="135">
        <f>+'[1]Resum dades per a Ajuntaments'!$M26</f>
        <v>0</v>
      </c>
      <c r="E28" s="194">
        <f t="shared" si="0"/>
        <v>269.91530699999998</v>
      </c>
      <c r="F28" s="165">
        <f t="shared" si="1"/>
        <v>1.922421433171738</v>
      </c>
      <c r="G28" s="113">
        <f t="shared" si="2"/>
        <v>271.94632682352403</v>
      </c>
      <c r="H28" s="113">
        <f t="shared" si="3"/>
        <v>2.1722276081036591E-3</v>
      </c>
      <c r="I28" s="113">
        <f t="shared" si="4"/>
        <v>2.0674064564036769E-3</v>
      </c>
      <c r="K28">
        <f t="shared" si="5"/>
        <v>1.922421433171738</v>
      </c>
      <c r="L28" s="15">
        <f t="shared" si="6"/>
        <v>543.39599999999996</v>
      </c>
      <c r="Q28" s="15" t="str">
        <f t="shared" si="7"/>
        <v>073</v>
      </c>
      <c r="R28" s="170" t="s">
        <v>139</v>
      </c>
      <c r="S28" s="203" t="s">
        <v>430</v>
      </c>
      <c r="T28" s="203">
        <v>350</v>
      </c>
      <c r="U28" s="204">
        <v>442.60899999999998</v>
      </c>
      <c r="W28" s="250" t="s">
        <v>231</v>
      </c>
      <c r="X28" s="251" t="s">
        <v>430</v>
      </c>
    </row>
    <row r="29" spans="1:24">
      <c r="A29" s="170" t="s">
        <v>140</v>
      </c>
      <c r="B29" s="194">
        <f>+'[1]Resum dades per a Ajuntaments'!$N27</f>
        <v>1134.6224441963823</v>
      </c>
      <c r="C29" s="135">
        <f>+'[1]Resum dades per a Ajuntaments'!$L27</f>
        <v>6.68</v>
      </c>
      <c r="D29" s="135">
        <f>+'[1]Resum dades per a Ajuntaments'!$M27</f>
        <v>50.345818363273445</v>
      </c>
      <c r="E29" s="194">
        <f t="shared" si="0"/>
        <v>1191.6482625596557</v>
      </c>
      <c r="F29" s="165">
        <f t="shared" si="1"/>
        <v>8.0811367444263897</v>
      </c>
      <c r="G29" s="113">
        <f t="shared" si="2"/>
        <v>1143.1600877335018</v>
      </c>
      <c r="H29" s="113">
        <f t="shared" si="3"/>
        <v>9.1312279598038323E-3</v>
      </c>
      <c r="I29" s="113">
        <f t="shared" si="4"/>
        <v>8.6905992579076712E-3</v>
      </c>
      <c r="K29">
        <f t="shared" si="5"/>
        <v>8.0811367444263897</v>
      </c>
      <c r="L29" s="15">
        <f t="shared" si="6"/>
        <v>4050.4589999999998</v>
      </c>
      <c r="Q29" s="15" t="str">
        <f t="shared" si="7"/>
        <v>074</v>
      </c>
      <c r="R29" s="170" t="s">
        <v>140</v>
      </c>
      <c r="S29" s="203" t="s">
        <v>488</v>
      </c>
      <c r="T29" s="203">
        <v>137</v>
      </c>
      <c r="U29" s="204">
        <v>137.69999999999999</v>
      </c>
      <c r="W29" s="250" t="s">
        <v>232</v>
      </c>
      <c r="X29" s="251" t="s">
        <v>537</v>
      </c>
    </row>
    <row r="30" spans="1:24">
      <c r="A30" s="170" t="s">
        <v>141</v>
      </c>
      <c r="B30" s="194">
        <f>+'[1]Resum dades per a Ajuntaments'!$N28</f>
        <v>409.00754899999998</v>
      </c>
      <c r="C30" s="135">
        <f>+'[1]Resum dades per a Ajuntaments'!$L28</f>
        <v>0</v>
      </c>
      <c r="D30" s="135">
        <f>+'[1]Resum dades per a Ajuntaments'!$M28</f>
        <v>0</v>
      </c>
      <c r="E30" s="194">
        <f t="shared" si="0"/>
        <v>409.00754899999998</v>
      </c>
      <c r="F30" s="165">
        <f t="shared" si="1"/>
        <v>2.9130799852215863</v>
      </c>
      <c r="G30" s="113">
        <f t="shared" si="2"/>
        <v>412.08519009128486</v>
      </c>
      <c r="H30" s="113">
        <f t="shared" si="3"/>
        <v>3.2916158025102669E-3</v>
      </c>
      <c r="I30" s="113">
        <f t="shared" si="4"/>
        <v>3.1327784145285366E-3</v>
      </c>
      <c r="K30">
        <f t="shared" si="5"/>
        <v>2.9130799852215863</v>
      </c>
      <c r="L30" s="15">
        <f t="shared" si="6"/>
        <v>943.70699999999999</v>
      </c>
      <c r="Q30" s="15" t="str">
        <f t="shared" si="7"/>
        <v>075</v>
      </c>
      <c r="R30" s="170" t="s">
        <v>141</v>
      </c>
      <c r="S30" s="203" t="s">
        <v>431</v>
      </c>
      <c r="T30" s="203">
        <v>513</v>
      </c>
      <c r="U30" s="204">
        <v>543.39599999999996</v>
      </c>
      <c r="W30" s="250" t="s">
        <v>233</v>
      </c>
      <c r="X30" s="251" t="s">
        <v>431</v>
      </c>
    </row>
    <row r="31" spans="1:24">
      <c r="A31" s="170" t="s">
        <v>142</v>
      </c>
      <c r="B31" s="194">
        <f>+'[1]Resum dades per a Ajuntaments'!$N29</f>
        <v>44.348103006255542</v>
      </c>
      <c r="C31" s="135">
        <f>+'[1]Resum dades per a Ajuntaments'!$L29</f>
        <v>0</v>
      </c>
      <c r="D31" s="135">
        <f>+'[1]Resum dades per a Ajuntaments'!$M29</f>
        <v>0</v>
      </c>
      <c r="E31" s="194">
        <f t="shared" si="0"/>
        <v>44.348103006255542</v>
      </c>
      <c r="F31" s="165">
        <f t="shared" si="1"/>
        <v>0.31586109245643357</v>
      </c>
      <c r="G31" s="113">
        <f t="shared" si="2"/>
        <v>44.681807223858108</v>
      </c>
      <c r="H31" s="113">
        <f t="shared" si="3"/>
        <v>3.5690518921630915E-4</v>
      </c>
      <c r="I31" s="113">
        <f t="shared" si="4"/>
        <v>3.3968267862773718E-4</v>
      </c>
      <c r="K31">
        <f t="shared" si="5"/>
        <v>0.31586109245643357</v>
      </c>
      <c r="L31" s="15">
        <f t="shared" si="6"/>
        <v>151.80000000000001</v>
      </c>
      <c r="Q31" s="15" t="str">
        <f t="shared" si="7"/>
        <v>077</v>
      </c>
      <c r="R31" s="170" t="s">
        <v>142</v>
      </c>
      <c r="S31" s="203" t="s">
        <v>432</v>
      </c>
      <c r="T31" s="203">
        <v>3563</v>
      </c>
      <c r="U31" s="204">
        <v>4050.4589999999998</v>
      </c>
      <c r="W31" s="250" t="s">
        <v>234</v>
      </c>
      <c r="X31" s="251" t="s">
        <v>432</v>
      </c>
    </row>
    <row r="32" spans="1:24">
      <c r="A32" s="170" t="s">
        <v>143</v>
      </c>
      <c r="B32" s="194">
        <f>+'[1]Resum dades per a Ajuntaments'!$N30</f>
        <v>4127.1399999999994</v>
      </c>
      <c r="C32" s="135">
        <f>+'[1]Resum dades per a Ajuntaments'!$L30</f>
        <v>0</v>
      </c>
      <c r="D32" s="135">
        <f>+'[1]Resum dades per a Ajuntaments'!$M30</f>
        <v>35.360000000000007</v>
      </c>
      <c r="E32" s="194">
        <f t="shared" si="0"/>
        <v>4162.4999999999991</v>
      </c>
      <c r="F32" s="165">
        <f t="shared" si="1"/>
        <v>29.394784911922041</v>
      </c>
      <c r="G32" s="113">
        <f t="shared" si="2"/>
        <v>4158.1953085989262</v>
      </c>
      <c r="H32" s="113">
        <f t="shared" si="3"/>
        <v>3.3214446228160506E-2</v>
      </c>
      <c r="I32" s="113">
        <f t="shared" si="4"/>
        <v>3.1611678408745708E-2</v>
      </c>
      <c r="K32">
        <f t="shared" si="5"/>
        <v>29.394784911922041</v>
      </c>
      <c r="L32" s="15">
        <f t="shared" si="6"/>
        <v>7889.18</v>
      </c>
      <c r="Q32" s="15" t="str">
        <f t="shared" si="7"/>
        <v>083</v>
      </c>
      <c r="R32" s="170" t="s">
        <v>143</v>
      </c>
      <c r="S32" s="203" t="s">
        <v>433</v>
      </c>
      <c r="T32" s="203">
        <v>909</v>
      </c>
      <c r="U32" s="204">
        <v>943.70699999999999</v>
      </c>
      <c r="W32" s="250" t="s">
        <v>235</v>
      </c>
      <c r="X32" s="251" t="s">
        <v>433</v>
      </c>
    </row>
    <row r="33" spans="1:24">
      <c r="A33" s="170" t="s">
        <v>144</v>
      </c>
      <c r="B33" s="194">
        <f>+'[1]Resum dades per a Ajuntaments'!$N31</f>
        <v>27.244147944565082</v>
      </c>
      <c r="C33" s="135">
        <f>+'[1]Resum dades per a Ajuntaments'!$L31</f>
        <v>12.512</v>
      </c>
      <c r="D33" s="135">
        <f>+'[1]Resum dades per a Ajuntaments'!$M31</f>
        <v>0</v>
      </c>
      <c r="E33" s="194">
        <f t="shared" si="0"/>
        <v>39.756147944565086</v>
      </c>
      <c r="F33" s="165">
        <f t="shared" si="1"/>
        <v>0.19404136252685245</v>
      </c>
      <c r="G33" s="113">
        <f t="shared" si="2"/>
        <v>27.44915078477241</v>
      </c>
      <c r="H33" s="113">
        <f t="shared" si="3"/>
        <v>2.1925577686649994E-4</v>
      </c>
      <c r="I33" s="113">
        <f t="shared" si="4"/>
        <v>2.0867555821801103E-4</v>
      </c>
      <c r="K33">
        <f t="shared" si="5"/>
        <v>0.19404136252685245</v>
      </c>
      <c r="L33" s="15">
        <f t="shared" si="6"/>
        <v>100.559</v>
      </c>
      <c r="Q33" s="15" t="str">
        <f t="shared" si="7"/>
        <v>088</v>
      </c>
      <c r="R33" s="170" t="s">
        <v>144</v>
      </c>
      <c r="S33" s="203" t="s">
        <v>434</v>
      </c>
      <c r="T33" s="203">
        <v>115</v>
      </c>
      <c r="U33" s="204">
        <v>151.80000000000001</v>
      </c>
      <c r="W33" s="250" t="s">
        <v>236</v>
      </c>
      <c r="X33" s="251" t="s">
        <v>434</v>
      </c>
    </row>
    <row r="34" spans="1:24" ht="29">
      <c r="A34" s="170" t="s">
        <v>145</v>
      </c>
      <c r="B34" s="194">
        <f>+'[1]Resum dades per a Ajuntaments'!$N32</f>
        <v>658.11447730436907</v>
      </c>
      <c r="C34" s="135">
        <f>+'[1]Resum dades per a Ajuntaments'!$L32</f>
        <v>0</v>
      </c>
      <c r="D34" s="135">
        <f>+'[1]Resum dades per a Ajuntaments'!$M32</f>
        <v>0</v>
      </c>
      <c r="E34" s="194">
        <f t="shared" si="0"/>
        <v>658.11447730436907</v>
      </c>
      <c r="F34" s="165">
        <f t="shared" si="1"/>
        <v>4.6872976220297673</v>
      </c>
      <c r="G34" s="113">
        <f t="shared" si="2"/>
        <v>663.06656232840714</v>
      </c>
      <c r="H34" s="113">
        <f t="shared" si="3"/>
        <v>5.2963814938189469E-3</v>
      </c>
      <c r="I34" s="113">
        <f t="shared" si="4"/>
        <v>5.040803852712895E-3</v>
      </c>
      <c r="K34">
        <f t="shared" si="5"/>
        <v>4.6872976220297673</v>
      </c>
      <c r="L34" s="15">
        <f t="shared" si="6"/>
        <v>1583.45</v>
      </c>
      <c r="Q34" s="15" t="str">
        <f t="shared" si="7"/>
        <v>092</v>
      </c>
      <c r="R34" s="170" t="s">
        <v>145</v>
      </c>
      <c r="S34" s="203" t="s">
        <v>435</v>
      </c>
      <c r="T34" s="203">
        <v>7163</v>
      </c>
      <c r="U34" s="204">
        <v>7889.18</v>
      </c>
      <c r="W34" s="250" t="s">
        <v>237</v>
      </c>
      <c r="X34" s="251" t="s">
        <v>435</v>
      </c>
    </row>
    <row r="35" spans="1:24" ht="43.5">
      <c r="A35" s="170" t="s">
        <v>146</v>
      </c>
      <c r="B35" s="194">
        <f>+'[1]Resum dades per a Ajuntaments'!$N33</f>
        <v>30.62</v>
      </c>
      <c r="C35" s="135">
        <f>+'[1]Resum dades per a Ajuntaments'!$L33</f>
        <v>0</v>
      </c>
      <c r="D35" s="135">
        <f>+'[1]Resum dades per a Ajuntaments'!$M33</f>
        <v>1.8199999999999998</v>
      </c>
      <c r="E35" s="194">
        <f t="shared" si="0"/>
        <v>32.44</v>
      </c>
      <c r="F35" s="165">
        <f t="shared" si="1"/>
        <v>0.21808523917362946</v>
      </c>
      <c r="G35" s="113">
        <f t="shared" si="2"/>
        <v>30.850404965496477</v>
      </c>
      <c r="H35" s="113">
        <f t="shared" si="3"/>
        <v>2.4642399906624803E-4</v>
      </c>
      <c r="I35" s="113">
        <f t="shared" si="4"/>
        <v>2.3453277399743981E-4</v>
      </c>
      <c r="K35">
        <f t="shared" si="5"/>
        <v>0.21808523917362946</v>
      </c>
      <c r="L35" s="15">
        <f t="shared" si="6"/>
        <v>112.2</v>
      </c>
      <c r="Q35" s="15" t="str">
        <f t="shared" si="7"/>
        <v>093</v>
      </c>
      <c r="R35" s="170" t="s">
        <v>146</v>
      </c>
      <c r="S35" s="203" t="s">
        <v>489</v>
      </c>
      <c r="T35" s="203">
        <v>95</v>
      </c>
      <c r="U35" s="204">
        <v>100.559</v>
      </c>
      <c r="W35" s="250" t="s">
        <v>238</v>
      </c>
      <c r="X35" s="251" t="s">
        <v>538</v>
      </c>
    </row>
    <row r="36" spans="1:24">
      <c r="A36" s="170" t="s">
        <v>340</v>
      </c>
      <c r="B36" s="194">
        <f>+'[1]Resum dades per a Ajuntaments'!$N34</f>
        <v>81.067379619012399</v>
      </c>
      <c r="C36" s="135">
        <f>+'[1]Resum dades per a Ajuntaments'!$L34</f>
        <v>6.6020000000000003</v>
      </c>
      <c r="D36" s="135">
        <f>+'[1]Resum dades per a Ajuntaments'!$M34</f>
        <v>0</v>
      </c>
      <c r="E36" s="194">
        <f t="shared" si="0"/>
        <v>87.669379619012403</v>
      </c>
      <c r="F36" s="165">
        <f t="shared" si="1"/>
        <v>0.57738729175021986</v>
      </c>
      <c r="G36" s="113">
        <f t="shared" si="2"/>
        <v>81.677383760227571</v>
      </c>
      <c r="H36" s="113">
        <f t="shared" si="3"/>
        <v>6.5241501892680234E-4</v>
      </c>
      <c r="I36" s="113">
        <f t="shared" si="4"/>
        <v>6.2093263954116572E-4</v>
      </c>
      <c r="K36">
        <f t="shared" si="5"/>
        <v>0.57738729175021986</v>
      </c>
      <c r="L36" s="15">
        <f t="shared" si="6"/>
        <v>217.2</v>
      </c>
      <c r="Q36" s="15" t="str">
        <f t="shared" si="7"/>
        <v>098</v>
      </c>
      <c r="R36" s="170" t="s">
        <v>340</v>
      </c>
      <c r="S36" s="203" t="s">
        <v>490</v>
      </c>
      <c r="T36" s="203">
        <v>1342</v>
      </c>
      <c r="U36" s="204">
        <v>1583.45</v>
      </c>
      <c r="W36" s="250" t="s">
        <v>239</v>
      </c>
      <c r="X36" s="251" t="s">
        <v>539</v>
      </c>
    </row>
    <row r="37" spans="1:24">
      <c r="A37" s="170" t="s">
        <v>147</v>
      </c>
      <c r="B37" s="194">
        <f>+'[1]Resum dades per a Ajuntaments'!$N35</f>
        <v>893.39773300000002</v>
      </c>
      <c r="C37" s="135">
        <f>+'[1]Resum dades per a Ajuntaments'!$L35</f>
        <v>0</v>
      </c>
      <c r="D37" s="135">
        <f>+'[1]Resum dades per a Ajuntaments'!$M35</f>
        <v>0</v>
      </c>
      <c r="E37" s="194">
        <f t="shared" si="0"/>
        <v>893.39773300000002</v>
      </c>
      <c r="F37" s="165">
        <f t="shared" si="1"/>
        <v>6.3630587288858056</v>
      </c>
      <c r="G37" s="113">
        <f t="shared" si="2"/>
        <v>900.12024357630617</v>
      </c>
      <c r="H37" s="113">
        <f t="shared" si="3"/>
        <v>7.1898968687975203E-3</v>
      </c>
      <c r="I37" s="113">
        <f t="shared" si="4"/>
        <v>6.8429473743799509E-3</v>
      </c>
      <c r="K37">
        <f t="shared" si="5"/>
        <v>6.3630587288858056</v>
      </c>
      <c r="L37" s="15">
        <f t="shared" si="6"/>
        <v>1803.0889999999999</v>
      </c>
      <c r="Q37" s="15" t="str">
        <f t="shared" si="7"/>
        <v>109</v>
      </c>
      <c r="R37" s="170" t="s">
        <v>147</v>
      </c>
      <c r="S37" s="203" t="s">
        <v>436</v>
      </c>
      <c r="T37" s="203">
        <v>105</v>
      </c>
      <c r="U37" s="204">
        <v>112.2</v>
      </c>
      <c r="W37" s="250" t="s">
        <v>240</v>
      </c>
      <c r="X37" s="251" t="s">
        <v>436</v>
      </c>
    </row>
    <row r="38" spans="1:24">
      <c r="A38" s="188" t="s">
        <v>148</v>
      </c>
      <c r="B38" s="195">
        <f>+'[1]Resum dades per a Ajuntaments'!$N36</f>
        <v>116.46000000000001</v>
      </c>
      <c r="C38" s="189">
        <f>+'[1]Resum dades per a Ajuntaments'!$L36</f>
        <v>0</v>
      </c>
      <c r="D38" s="189">
        <f>+'[1]Resum dades per a Ajuntaments'!$M36</f>
        <v>95.26</v>
      </c>
      <c r="E38" s="195">
        <f t="shared" si="0"/>
        <v>211.72000000000003</v>
      </c>
      <c r="F38" s="190">
        <f t="shared" si="1"/>
        <v>3</v>
      </c>
      <c r="G38" s="191">
        <f t="shared" si="2"/>
        <v>117.33632143310646</v>
      </c>
      <c r="H38" s="191">
        <f t="shared" si="3"/>
        <v>9.372481688848872E-4</v>
      </c>
      <c r="I38" s="191">
        <f t="shared" si="4"/>
        <v>3.226253755909389E-3</v>
      </c>
      <c r="K38" s="196">
        <v>3</v>
      </c>
      <c r="L38" s="15">
        <f t="shared" si="6"/>
        <v>759.57899999999995</v>
      </c>
      <c r="Q38" s="15" t="str">
        <f t="shared" si="7"/>
        <v>099</v>
      </c>
      <c r="R38" s="188" t="s">
        <v>148</v>
      </c>
      <c r="S38" s="203" t="s">
        <v>491</v>
      </c>
      <c r="T38" s="203">
        <v>211</v>
      </c>
      <c r="U38" s="204">
        <v>217.2</v>
      </c>
      <c r="W38" s="250" t="s">
        <v>241</v>
      </c>
      <c r="X38" s="251" t="s">
        <v>540</v>
      </c>
    </row>
    <row r="39" spans="1:24">
      <c r="A39" s="170" t="s">
        <v>149</v>
      </c>
      <c r="B39" s="194">
        <f>+'[1]Resum dades per a Ajuntaments'!$N37</f>
        <v>2164.8000000000002</v>
      </c>
      <c r="C39" s="135">
        <f>+'[1]Resum dades per a Ajuntaments'!$L37</f>
        <v>0</v>
      </c>
      <c r="D39" s="135">
        <f>+'[1]Resum dades per a Ajuntaments'!$M37</f>
        <v>0</v>
      </c>
      <c r="E39" s="194">
        <f t="shared" si="0"/>
        <v>2164.8000000000002</v>
      </c>
      <c r="F39" s="165">
        <f t="shared" si="1"/>
        <v>15.418384250916823</v>
      </c>
      <c r="G39" s="113">
        <f t="shared" si="2"/>
        <v>2181.0893752222983</v>
      </c>
      <c r="H39" s="113">
        <f t="shared" si="3"/>
        <v>1.7421903108380592E-2</v>
      </c>
      <c r="I39" s="113">
        <f t="shared" si="4"/>
        <v>1.658120669985819E-2</v>
      </c>
      <c r="K39">
        <f t="shared" si="5"/>
        <v>15.418384250916823</v>
      </c>
      <c r="L39" s="15">
        <f t="shared" si="6"/>
        <v>6542.2470000000003</v>
      </c>
      <c r="Q39" s="15" t="str">
        <f t="shared" si="7"/>
        <v>115</v>
      </c>
      <c r="R39" s="170" t="s">
        <v>149</v>
      </c>
      <c r="S39" s="203" t="s">
        <v>437</v>
      </c>
      <c r="T39" s="203">
        <v>647</v>
      </c>
      <c r="U39" s="204">
        <v>759.57899999999995</v>
      </c>
      <c r="W39" s="250" t="s">
        <v>243</v>
      </c>
      <c r="X39" s="251" t="s">
        <v>437</v>
      </c>
    </row>
    <row r="40" spans="1:24">
      <c r="A40" s="170" t="s">
        <v>341</v>
      </c>
      <c r="B40" s="194">
        <f>+'[1]Resum dades per a Ajuntaments'!$N38</f>
        <v>888.49160954318484</v>
      </c>
      <c r="C40" s="135">
        <f>+'[1]Resum dades per a Ajuntaments'!$L38</f>
        <v>0</v>
      </c>
      <c r="D40" s="135">
        <f>+'[1]Resum dades per a Ajuntaments'!$M38</f>
        <v>0</v>
      </c>
      <c r="E40" s="194">
        <f t="shared" si="0"/>
        <v>888.49160954318484</v>
      </c>
      <c r="F40" s="165">
        <f t="shared" si="1"/>
        <v>6.3281157795881278</v>
      </c>
      <c r="G40" s="113">
        <f t="shared" si="2"/>
        <v>895.17720322838102</v>
      </c>
      <c r="H40" s="113">
        <f t="shared" si="3"/>
        <v>7.1504133102690721E-3</v>
      </c>
      <c r="I40" s="113">
        <f t="shared" si="4"/>
        <v>6.805369100575223E-3</v>
      </c>
      <c r="K40">
        <f t="shared" si="5"/>
        <v>6.3281157795881278</v>
      </c>
      <c r="L40" s="15">
        <f t="shared" si="6"/>
        <v>1811.8</v>
      </c>
      <c r="Q40" s="15" t="str">
        <f t="shared" si="7"/>
        <v>134</v>
      </c>
      <c r="R40" s="170" t="s">
        <v>341</v>
      </c>
      <c r="S40" s="203" t="s">
        <v>438</v>
      </c>
      <c r="T40" s="203">
        <v>1501</v>
      </c>
      <c r="U40" s="204">
        <v>1609.3050000000001</v>
      </c>
      <c r="W40" s="250" t="s">
        <v>282</v>
      </c>
      <c r="X40" s="251" t="s">
        <v>438</v>
      </c>
    </row>
    <row r="41" spans="1:24">
      <c r="A41" s="170" t="s">
        <v>150</v>
      </c>
      <c r="B41" s="194">
        <f>+'[1]Resum dades per a Ajuntaments'!$N39</f>
        <v>160.90401475346559</v>
      </c>
      <c r="C41" s="135">
        <f>+'[1]Resum dades per a Ajuntaments'!$L39</f>
        <v>0</v>
      </c>
      <c r="D41" s="135">
        <f>+'[1]Resum dades per a Ajuntaments'!$M39</f>
        <v>0</v>
      </c>
      <c r="E41" s="194">
        <f t="shared" si="0"/>
        <v>160.90401475346559</v>
      </c>
      <c r="F41" s="165">
        <f t="shared" si="1"/>
        <v>1.1460088354509061</v>
      </c>
      <c r="G41" s="113">
        <f t="shared" si="2"/>
        <v>162.11476210707488</v>
      </c>
      <c r="H41" s="113">
        <f t="shared" si="3"/>
        <v>1.2949252377976342E-3</v>
      </c>
      <c r="I41" s="113">
        <f t="shared" si="4"/>
        <v>1.2324384365596103E-3</v>
      </c>
      <c r="K41">
        <f t="shared" si="5"/>
        <v>1.1460088354509061</v>
      </c>
      <c r="L41" s="15">
        <f t="shared" si="6"/>
        <v>507.51799999999997</v>
      </c>
      <c r="Q41" s="15" t="str">
        <f t="shared" si="7"/>
        <v>191</v>
      </c>
      <c r="R41" s="170" t="s">
        <v>150</v>
      </c>
      <c r="S41" s="203" t="s">
        <v>439</v>
      </c>
      <c r="T41" s="203">
        <v>1681</v>
      </c>
      <c r="U41" s="204">
        <v>1803.0889999999999</v>
      </c>
      <c r="W41" s="250" t="s">
        <v>242</v>
      </c>
      <c r="X41" s="251" t="s">
        <v>439</v>
      </c>
    </row>
    <row r="42" spans="1:24" ht="29">
      <c r="A42" s="170" t="s">
        <v>342</v>
      </c>
      <c r="B42" s="194">
        <f>+'[1]Resum dades per a Ajuntaments'!$N40</f>
        <v>951.6</v>
      </c>
      <c r="C42" s="135">
        <f>+'[1]Resum dades per a Ajuntaments'!$L40</f>
        <v>0</v>
      </c>
      <c r="D42" s="135">
        <f>+'[1]Resum dades per a Ajuntaments'!$M40</f>
        <v>4.18</v>
      </c>
      <c r="E42" s="194">
        <f t="shared" si="0"/>
        <v>955.78</v>
      </c>
      <c r="F42" s="165">
        <f t="shared" si="1"/>
        <v>6.7775935204972502</v>
      </c>
      <c r="G42" s="113">
        <f t="shared" si="2"/>
        <v>958.76046261157569</v>
      </c>
      <c r="H42" s="113">
        <f t="shared" si="3"/>
        <v>7.6582977632737295E-3</v>
      </c>
      <c r="I42" s="113">
        <f t="shared" si="4"/>
        <v>7.2887455171771311E-3</v>
      </c>
      <c r="K42">
        <f t="shared" si="5"/>
        <v>6.7775935204972502</v>
      </c>
      <c r="L42" s="15">
        <f t="shared" si="6"/>
        <v>1822.05</v>
      </c>
      <c r="Q42" s="15" t="str">
        <f t="shared" si="7"/>
        <v>213</v>
      </c>
      <c r="R42" s="170" t="s">
        <v>342</v>
      </c>
      <c r="S42" s="203" t="s">
        <v>492</v>
      </c>
      <c r="T42" s="203">
        <v>6231</v>
      </c>
      <c r="U42" s="204">
        <v>6542.2470000000003</v>
      </c>
      <c r="W42" s="250" t="s">
        <v>244</v>
      </c>
      <c r="X42" s="251" t="s">
        <v>541</v>
      </c>
    </row>
    <row r="43" spans="1:24">
      <c r="A43" s="170" t="s">
        <v>151</v>
      </c>
      <c r="B43" s="194">
        <f>+'[1]Resum dades per a Ajuntaments'!$N41</f>
        <v>1663.9765958202327</v>
      </c>
      <c r="C43" s="135">
        <f>+'[1]Resum dades per a Ajuntaments'!$L41</f>
        <v>0</v>
      </c>
      <c r="D43" s="135">
        <f>+'[1]Resum dades per a Ajuntaments'!$M41</f>
        <v>0</v>
      </c>
      <c r="E43" s="194">
        <f t="shared" si="0"/>
        <v>1663.9765958202327</v>
      </c>
      <c r="F43" s="165">
        <f t="shared" si="1"/>
        <v>11.851362961423161</v>
      </c>
      <c r="G43" s="113">
        <f t="shared" si="2"/>
        <v>1676.4974472293413</v>
      </c>
      <c r="H43" s="113">
        <f t="shared" si="3"/>
        <v>1.3391370577879281E-2</v>
      </c>
      <c r="I43" s="113">
        <f t="shared" si="4"/>
        <v>1.2745168088978964E-2</v>
      </c>
      <c r="K43">
        <f t="shared" si="5"/>
        <v>11.851362961423161</v>
      </c>
      <c r="L43" s="15">
        <f t="shared" si="6"/>
        <v>4125.1679999999997</v>
      </c>
      <c r="Q43" s="15" t="str">
        <f t="shared" si="7"/>
        <v>120</v>
      </c>
      <c r="R43" s="170" t="s">
        <v>151</v>
      </c>
      <c r="S43" s="203" t="s">
        <v>440</v>
      </c>
      <c r="T43" s="203">
        <v>3585</v>
      </c>
      <c r="U43" s="204">
        <v>4125.1679999999997</v>
      </c>
      <c r="W43" s="250" t="s">
        <v>246</v>
      </c>
      <c r="X43" s="251" t="s">
        <v>440</v>
      </c>
    </row>
    <row r="44" spans="1:24">
      <c r="A44" s="170" t="s">
        <v>152</v>
      </c>
      <c r="B44" s="194">
        <f>+'[1]Resum dades per a Ajuntaments'!$N42</f>
        <v>49.873204000000001</v>
      </c>
      <c r="C44" s="135">
        <f>+'[1]Resum dades per a Ajuntaments'!$L42</f>
        <v>0</v>
      </c>
      <c r="D44" s="135">
        <f>+'[1]Resum dades per a Ajuntaments'!$M42</f>
        <v>0</v>
      </c>
      <c r="E44" s="194">
        <f t="shared" si="0"/>
        <v>49.873204000000001</v>
      </c>
      <c r="F44" s="165">
        <f t="shared" si="1"/>
        <v>0.35521259381760989</v>
      </c>
      <c r="G44" s="113">
        <f t="shared" si="2"/>
        <v>50.248482701724974</v>
      </c>
      <c r="H44" s="113">
        <f t="shared" si="3"/>
        <v>4.0137016250577388E-4</v>
      </c>
      <c r="I44" s="113">
        <f t="shared" si="4"/>
        <v>3.820019883167934E-4</v>
      </c>
      <c r="K44">
        <f t="shared" si="5"/>
        <v>0.35521259381760989</v>
      </c>
      <c r="L44" s="15">
        <f t="shared" si="6"/>
        <v>100.85</v>
      </c>
      <c r="Q44" s="15" t="str">
        <f t="shared" si="7"/>
        <v>123</v>
      </c>
      <c r="R44" s="170" t="s">
        <v>152</v>
      </c>
      <c r="S44" s="203" t="s">
        <v>441</v>
      </c>
      <c r="T44" s="203">
        <v>91</v>
      </c>
      <c r="U44" s="204">
        <v>100.85</v>
      </c>
      <c r="W44" s="250" t="s">
        <v>247</v>
      </c>
      <c r="X44" s="251" t="s">
        <v>441</v>
      </c>
    </row>
    <row r="45" spans="1:24" ht="29">
      <c r="A45" s="170" t="s">
        <v>153</v>
      </c>
      <c r="B45" s="194">
        <f>+'[1]Resum dades per a Ajuntaments'!$N43</f>
        <v>271.51339997847697</v>
      </c>
      <c r="C45" s="135">
        <f>+'[1]Resum dades per a Ajuntaments'!$L43</f>
        <v>40.914000000000001</v>
      </c>
      <c r="D45" s="135">
        <f>+'[1]Resum dades per a Ajuntaments'!$M43</f>
        <v>0</v>
      </c>
      <c r="E45" s="194">
        <f t="shared" si="0"/>
        <v>312.42739997847696</v>
      </c>
      <c r="F45" s="165">
        <f t="shared" si="1"/>
        <v>1.9338035523563513</v>
      </c>
      <c r="G45" s="113">
        <f t="shared" si="2"/>
        <v>273.5564449018562</v>
      </c>
      <c r="H45" s="113">
        <f t="shared" si="3"/>
        <v>2.1850887597246907E-3</v>
      </c>
      <c r="I45" s="113">
        <f t="shared" si="4"/>
        <v>2.0796469913268657E-3</v>
      </c>
      <c r="K45">
        <f t="shared" si="5"/>
        <v>1.9338035523563513</v>
      </c>
      <c r="L45" s="15">
        <f t="shared" si="6"/>
        <v>771.54399999999998</v>
      </c>
      <c r="Q45" s="15" t="str">
        <f t="shared" si="7"/>
        <v>126</v>
      </c>
      <c r="R45" s="170" t="s">
        <v>153</v>
      </c>
      <c r="S45" s="203" t="s">
        <v>442</v>
      </c>
      <c r="T45" s="203">
        <v>707</v>
      </c>
      <c r="U45" s="204">
        <v>771.54399999999998</v>
      </c>
      <c r="W45" s="250" t="s">
        <v>248</v>
      </c>
      <c r="X45" s="251" t="s">
        <v>442</v>
      </c>
    </row>
    <row r="46" spans="1:24">
      <c r="A46" s="170" t="s">
        <v>154</v>
      </c>
      <c r="B46" s="194">
        <f>+'[1]Resum dades per a Ajuntaments'!$N44</f>
        <v>32631.380000000005</v>
      </c>
      <c r="C46" s="135">
        <f>+'[1]Resum dades per a Ajuntaments'!$L44</f>
        <v>0</v>
      </c>
      <c r="D46" s="135">
        <f>+'[1]Resum dades per a Ajuntaments'!$M44</f>
        <v>0</v>
      </c>
      <c r="E46" s="194">
        <f t="shared" si="0"/>
        <v>32631.380000000005</v>
      </c>
      <c r="F46" s="165">
        <f t="shared" si="1"/>
        <v>232.41091808836021</v>
      </c>
      <c r="G46" s="113">
        <f t="shared" si="2"/>
        <v>32876.919908001393</v>
      </c>
      <c r="H46" s="113">
        <f t="shared" si="3"/>
        <v>0.26261120687950312</v>
      </c>
      <c r="I46" s="113">
        <f t="shared" si="4"/>
        <v>0.24993886579897381</v>
      </c>
      <c r="K46">
        <f t="shared" si="5"/>
        <v>232.41091808836021</v>
      </c>
      <c r="L46" s="15">
        <f t="shared" si="6"/>
        <v>66597.361000000004</v>
      </c>
      <c r="Q46" s="15" t="str">
        <f t="shared" si="7"/>
        <v>133</v>
      </c>
      <c r="R46" s="170" t="s">
        <v>154</v>
      </c>
      <c r="S46" s="203" t="s">
        <v>443</v>
      </c>
      <c r="T46" s="203">
        <v>2529</v>
      </c>
      <c r="U46" s="204">
        <v>2636.3249999999998</v>
      </c>
      <c r="W46" s="250" t="s">
        <v>256</v>
      </c>
      <c r="X46" s="251" t="s">
        <v>542</v>
      </c>
    </row>
    <row r="47" spans="1:24" ht="29">
      <c r="A47" s="170" t="s">
        <v>343</v>
      </c>
      <c r="B47" s="194">
        <f>+'[1]Resum dades per a Ajuntaments'!$N45</f>
        <v>141.65737867752378</v>
      </c>
      <c r="C47" s="135">
        <f>+'[1]Resum dades per a Ajuntaments'!$L45</f>
        <v>8.5500000000000007</v>
      </c>
      <c r="D47" s="135">
        <f>+'[1]Resum dades per a Ajuntaments'!$M45</f>
        <v>0</v>
      </c>
      <c r="E47" s="194">
        <f t="shared" si="0"/>
        <v>150.20737867752379</v>
      </c>
      <c r="F47" s="165">
        <f t="shared" si="1"/>
        <v>1.0089282596210702</v>
      </c>
      <c r="G47" s="113">
        <f t="shared" si="2"/>
        <v>142.72330171627348</v>
      </c>
      <c r="H47" s="113">
        <f t="shared" si="3"/>
        <v>1.1400319317752207E-3</v>
      </c>
      <c r="I47" s="113">
        <f t="shared" si="4"/>
        <v>1.0850195290152004E-3</v>
      </c>
      <c r="K47">
        <f t="shared" si="5"/>
        <v>1.0089282596210702</v>
      </c>
      <c r="L47" s="15">
        <f t="shared" si="6"/>
        <v>339.5</v>
      </c>
      <c r="Q47" s="15" t="str">
        <f t="shared" si="7"/>
        <v>140</v>
      </c>
      <c r="R47" s="170" t="s">
        <v>343</v>
      </c>
      <c r="S47" s="203" t="s">
        <v>496</v>
      </c>
      <c r="T47" s="203">
        <v>1686</v>
      </c>
      <c r="U47" s="204">
        <v>1959.546</v>
      </c>
      <c r="W47" s="250" t="s">
        <v>255</v>
      </c>
      <c r="X47" s="251" t="s">
        <v>543</v>
      </c>
    </row>
    <row r="48" spans="1:24" ht="29">
      <c r="A48" s="170" t="s">
        <v>344</v>
      </c>
      <c r="B48" s="194">
        <f>+'[1]Resum dades per a Ajuntaments'!$N46</f>
        <v>259.58</v>
      </c>
      <c r="C48" s="135">
        <f>+'[1]Resum dades per a Ajuntaments'!$L46</f>
        <v>0</v>
      </c>
      <c r="D48" s="135">
        <f>+'[1]Resum dades per a Ajuntaments'!$M46</f>
        <v>0</v>
      </c>
      <c r="E48" s="194">
        <f t="shared" si="0"/>
        <v>259.58</v>
      </c>
      <c r="F48" s="165">
        <f t="shared" si="1"/>
        <v>1.8488101366652756</v>
      </c>
      <c r="G48" s="113">
        <f t="shared" si="2"/>
        <v>261.53325019410761</v>
      </c>
      <c r="H48" s="113">
        <f t="shared" si="3"/>
        <v>2.0890510018816673E-3</v>
      </c>
      <c r="I48" s="113">
        <f t="shared" si="4"/>
        <v>1.9882435491265656E-3</v>
      </c>
      <c r="K48">
        <f t="shared" si="5"/>
        <v>1.8488101366652756</v>
      </c>
      <c r="L48" s="15">
        <f t="shared" si="6"/>
        <v>1087.0999999999999</v>
      </c>
      <c r="Q48" s="15" t="str">
        <f t="shared" si="7"/>
        <v>142</v>
      </c>
      <c r="R48" s="170" t="s">
        <v>344</v>
      </c>
      <c r="S48" s="203" t="s">
        <v>444</v>
      </c>
      <c r="T48" s="203">
        <v>59072</v>
      </c>
      <c r="U48" s="204">
        <v>66597.361000000004</v>
      </c>
      <c r="W48" s="250" t="s">
        <v>249</v>
      </c>
      <c r="X48" s="251" t="s">
        <v>444</v>
      </c>
    </row>
    <row r="49" spans="1:24">
      <c r="A49" s="188" t="s">
        <v>155</v>
      </c>
      <c r="B49" s="195">
        <f>+'[1]Resum dades per a Ajuntaments'!$N47</f>
        <v>366.49</v>
      </c>
      <c r="C49" s="189">
        <f>+'[1]Resum dades per a Ajuntaments'!$L47</f>
        <v>0</v>
      </c>
      <c r="D49" s="189">
        <f>+'[1]Resum dades per a Ajuntaments'!$M47</f>
        <v>0</v>
      </c>
      <c r="E49" s="195">
        <f t="shared" si="0"/>
        <v>366.49</v>
      </c>
      <c r="F49" s="190">
        <f t="shared" si="1"/>
        <v>5</v>
      </c>
      <c r="G49" s="191">
        <f t="shared" si="2"/>
        <v>369.24771116279567</v>
      </c>
      <c r="H49" s="191">
        <f t="shared" si="3"/>
        <v>2.9494425675306735E-3</v>
      </c>
      <c r="I49" s="191">
        <f t="shared" si="4"/>
        <v>5.3770895931823147E-3</v>
      </c>
      <c r="K49" s="196">
        <v>5</v>
      </c>
      <c r="L49" s="15">
        <f t="shared" si="6"/>
        <v>1002.462</v>
      </c>
      <c r="Q49" s="15" t="str">
        <f t="shared" si="7"/>
        <v>144</v>
      </c>
      <c r="R49" s="188" t="s">
        <v>155</v>
      </c>
      <c r="S49" s="203" t="s">
        <v>493</v>
      </c>
      <c r="T49" s="203">
        <v>1686</v>
      </c>
      <c r="U49" s="204">
        <v>1811.8</v>
      </c>
      <c r="W49" s="250" t="s">
        <v>250</v>
      </c>
      <c r="X49" s="251" t="s">
        <v>544</v>
      </c>
    </row>
    <row r="50" spans="1:24">
      <c r="A50" s="188" t="s">
        <v>156</v>
      </c>
      <c r="B50" s="195">
        <f>+'[1]Resum dades per a Ajuntaments'!$N48</f>
        <v>291.17</v>
      </c>
      <c r="C50" s="189">
        <f>+'[1]Resum dades per a Ajuntaments'!$L48</f>
        <v>0</v>
      </c>
      <c r="D50" s="189">
        <f>+'[1]Resum dades per a Ajuntaments'!$M48</f>
        <v>0</v>
      </c>
      <c r="E50" s="195">
        <f t="shared" si="0"/>
        <v>291.17</v>
      </c>
      <c r="F50" s="190">
        <f t="shared" si="1"/>
        <v>5</v>
      </c>
      <c r="G50" s="191">
        <f t="shared" si="2"/>
        <v>293.36095407588533</v>
      </c>
      <c r="H50" s="191">
        <f t="shared" si="3"/>
        <v>2.3432813784493608E-3</v>
      </c>
      <c r="I50" s="191">
        <f t="shared" si="4"/>
        <v>5.3770895931823147E-3</v>
      </c>
      <c r="K50" s="196">
        <v>5</v>
      </c>
      <c r="L50" s="15">
        <f t="shared" si="6"/>
        <v>917.23099999999999</v>
      </c>
      <c r="Q50" s="15" t="str">
        <f t="shared" si="7"/>
        <v>146</v>
      </c>
      <c r="R50" s="188" t="s">
        <v>156</v>
      </c>
      <c r="S50" s="203" t="s">
        <v>497</v>
      </c>
      <c r="T50" s="203">
        <v>192</v>
      </c>
      <c r="U50" s="204">
        <v>202.85</v>
      </c>
      <c r="W50" s="250" t="s">
        <v>257</v>
      </c>
      <c r="X50" s="251" t="s">
        <v>545</v>
      </c>
    </row>
    <row r="51" spans="1:24" ht="29">
      <c r="A51" s="170" t="s">
        <v>157</v>
      </c>
      <c r="B51" s="194">
        <f>+'[1]Resum dades per a Ajuntaments'!$N49</f>
        <v>769.84896430552988</v>
      </c>
      <c r="C51" s="135">
        <f>+'[1]Resum dades per a Ajuntaments'!$L49</f>
        <v>8.6630000000000003</v>
      </c>
      <c r="D51" s="135">
        <f>+'[1]Resum dades per a Ajuntaments'!$M49</f>
        <v>0</v>
      </c>
      <c r="E51" s="194">
        <f t="shared" si="0"/>
        <v>778.51196430552989</v>
      </c>
      <c r="F51" s="165">
        <f t="shared" si="1"/>
        <v>5.4831056664971394</v>
      </c>
      <c r="G51" s="113">
        <f t="shared" si="2"/>
        <v>775.64181290312342</v>
      </c>
      <c r="H51" s="113">
        <f t="shared" si="3"/>
        <v>6.1955996231606103E-3</v>
      </c>
      <c r="I51" s="113">
        <f t="shared" si="4"/>
        <v>5.8966300835281496E-3</v>
      </c>
      <c r="K51">
        <f t="shared" si="5"/>
        <v>5.4831056664971394</v>
      </c>
      <c r="L51" s="15">
        <f t="shared" si="6"/>
        <v>1959.546</v>
      </c>
      <c r="Q51" s="15" t="str">
        <f t="shared" si="7"/>
        <v>130</v>
      </c>
      <c r="R51" s="170" t="s">
        <v>157</v>
      </c>
      <c r="S51" s="203" t="s">
        <v>495</v>
      </c>
      <c r="T51" s="203">
        <v>276</v>
      </c>
      <c r="U51" s="204">
        <v>339.5</v>
      </c>
      <c r="W51" s="250" t="s">
        <v>251</v>
      </c>
      <c r="X51" s="251" t="s">
        <v>546</v>
      </c>
    </row>
    <row r="52" spans="1:24" ht="29">
      <c r="A52" s="170" t="s">
        <v>345</v>
      </c>
      <c r="B52" s="194">
        <f>+'[1]Resum dades per a Ajuntaments'!$N50</f>
        <v>1073.1399999999999</v>
      </c>
      <c r="C52" s="135">
        <f>+'[1]Resum dades per a Ajuntaments'!$L50</f>
        <v>0</v>
      </c>
      <c r="D52" s="135">
        <f>+'[1]Resum dades per a Ajuntaments'!$M50</f>
        <v>27.34</v>
      </c>
      <c r="E52" s="194">
        <f t="shared" si="0"/>
        <v>1100.4799999999998</v>
      </c>
      <c r="F52" s="165">
        <f t="shared" si="1"/>
        <v>7.6432395025077957</v>
      </c>
      <c r="G52" s="113">
        <f t="shared" si="2"/>
        <v>1081.2150092969591</v>
      </c>
      <c r="H52" s="113">
        <f t="shared" si="3"/>
        <v>8.6364288163929912E-3</v>
      </c>
      <c r="I52" s="113">
        <f t="shared" si="4"/>
        <v>8.219676717426929E-3</v>
      </c>
      <c r="K52">
        <f t="shared" si="5"/>
        <v>7.6432395025077957</v>
      </c>
      <c r="L52" s="15">
        <f t="shared" si="6"/>
        <v>2636.3249999999998</v>
      </c>
      <c r="Q52" s="15" t="str">
        <f t="shared" si="7"/>
        <v>129</v>
      </c>
      <c r="R52" s="170" t="s">
        <v>345</v>
      </c>
      <c r="S52" s="203" t="s">
        <v>445</v>
      </c>
      <c r="T52" s="203">
        <v>1072</v>
      </c>
      <c r="U52" s="204">
        <v>1087.0999999999999</v>
      </c>
      <c r="W52" s="250" t="s">
        <v>252</v>
      </c>
      <c r="X52" s="251" t="s">
        <v>445</v>
      </c>
    </row>
    <row r="53" spans="1:24" ht="29">
      <c r="A53" s="170" t="s">
        <v>158</v>
      </c>
      <c r="B53" s="194">
        <f>+'[1]Resum dades per a Ajuntaments'!$N51</f>
        <v>98.503999999999991</v>
      </c>
      <c r="C53" s="135">
        <f>+'[1]Resum dades per a Ajuntaments'!$L51</f>
        <v>0</v>
      </c>
      <c r="D53" s="135">
        <f>+'[1]Resum dades per a Ajuntaments'!$M51</f>
        <v>0</v>
      </c>
      <c r="E53" s="194">
        <f t="shared" si="0"/>
        <v>98.503999999999991</v>
      </c>
      <c r="F53" s="165">
        <f t="shared" si="1"/>
        <v>0.70157636837227944</v>
      </c>
      <c r="G53" s="113">
        <f t="shared" si="2"/>
        <v>99.245208710687933</v>
      </c>
      <c r="H53" s="113">
        <f t="shared" si="3"/>
        <v>7.9274165917771688E-4</v>
      </c>
      <c r="I53" s="113">
        <f t="shared" si="4"/>
        <v>7.544877978394452E-4</v>
      </c>
      <c r="K53">
        <f t="shared" si="5"/>
        <v>0.70157636837227944</v>
      </c>
      <c r="L53" s="15">
        <f t="shared" si="6"/>
        <v>202.85</v>
      </c>
      <c r="Q53" s="15" t="str">
        <f t="shared" si="7"/>
        <v>139</v>
      </c>
      <c r="R53" s="170" t="s">
        <v>158</v>
      </c>
      <c r="S53" s="203" t="s">
        <v>446</v>
      </c>
      <c r="T53" s="203">
        <v>943</v>
      </c>
      <c r="U53" s="204">
        <v>1002.462</v>
      </c>
      <c r="W53" s="250" t="s">
        <v>253</v>
      </c>
      <c r="X53" s="251" t="s">
        <v>446</v>
      </c>
    </row>
    <row r="54" spans="1:24" ht="29">
      <c r="A54" s="170" t="s">
        <v>159</v>
      </c>
      <c r="B54" s="194">
        <f>+'[1]Resum dades per a Ajuntaments'!$N52</f>
        <v>1177.9369999999999</v>
      </c>
      <c r="C54" s="135">
        <f>+'[1]Resum dades per a Ajuntaments'!$L52</f>
        <v>0</v>
      </c>
      <c r="D54" s="135">
        <f>+'[1]Resum dades per a Ajuntaments'!$M52</f>
        <v>0</v>
      </c>
      <c r="E54" s="194">
        <f t="shared" si="0"/>
        <v>1177.9369999999999</v>
      </c>
      <c r="F54" s="165">
        <f t="shared" si="1"/>
        <v>8.3896365896952183</v>
      </c>
      <c r="G54" s="113">
        <f t="shared" si="2"/>
        <v>1186.8005706676036</v>
      </c>
      <c r="H54" s="113">
        <f t="shared" si="3"/>
        <v>9.4798153555878169E-3</v>
      </c>
      <c r="I54" s="113">
        <f t="shared" si="4"/>
        <v>9.0223655194063453E-3</v>
      </c>
      <c r="K54">
        <f t="shared" si="5"/>
        <v>8.3896365896952183</v>
      </c>
      <c r="L54" s="15">
        <f t="shared" si="6"/>
        <v>2212.15</v>
      </c>
      <c r="Q54" s="15" t="str">
        <f t="shared" si="7"/>
        <v>159</v>
      </c>
      <c r="R54" s="170" t="s">
        <v>159</v>
      </c>
      <c r="S54" s="203" t="s">
        <v>447</v>
      </c>
      <c r="T54" s="203">
        <v>7004</v>
      </c>
      <c r="U54" s="204">
        <v>7481.4949999999999</v>
      </c>
      <c r="W54" s="250" t="s">
        <v>299</v>
      </c>
      <c r="X54" s="251" t="s">
        <v>447</v>
      </c>
    </row>
    <row r="55" spans="1:24" ht="29">
      <c r="A55" s="170" t="s">
        <v>160</v>
      </c>
      <c r="B55" s="194">
        <f>+'[1]Resum dades per a Ajuntaments'!$N53</f>
        <v>729.75916973452786</v>
      </c>
      <c r="C55" s="135">
        <f>+'[1]Resum dades per a Ajuntaments'!$L53</f>
        <v>0</v>
      </c>
      <c r="D55" s="135">
        <f>+'[1]Resum dades per a Ajuntaments'!$M53</f>
        <v>0</v>
      </c>
      <c r="E55" s="194">
        <f t="shared" si="0"/>
        <v>729.75916973452786</v>
      </c>
      <c r="F55" s="165">
        <f t="shared" si="1"/>
        <v>5.1975735816689674</v>
      </c>
      <c r="G55" s="113">
        <f t="shared" si="2"/>
        <v>735.25035642046589</v>
      </c>
      <c r="H55" s="113">
        <f t="shared" si="3"/>
        <v>5.8729644990609805E-3</v>
      </c>
      <c r="I55" s="113">
        <f t="shared" si="4"/>
        <v>5.589563763158307E-3</v>
      </c>
      <c r="K55">
        <f t="shared" si="5"/>
        <v>5.1975735816689674</v>
      </c>
      <c r="L55" s="15">
        <f t="shared" si="6"/>
        <v>1591.25</v>
      </c>
      <c r="Q55" s="15" t="str">
        <f t="shared" si="7"/>
        <v>202</v>
      </c>
      <c r="R55" s="170" t="s">
        <v>160</v>
      </c>
      <c r="S55" s="203" t="s">
        <v>448</v>
      </c>
      <c r="T55" s="203">
        <v>902</v>
      </c>
      <c r="U55" s="204">
        <v>917.23099999999999</v>
      </c>
      <c r="W55" s="250" t="s">
        <v>254</v>
      </c>
      <c r="X55" s="251" t="s">
        <v>448</v>
      </c>
    </row>
    <row r="56" spans="1:24" ht="29">
      <c r="A56" s="170" t="s">
        <v>161</v>
      </c>
      <c r="B56" s="194">
        <f>+'[1]Resum dades per a Ajuntaments'!$N54</f>
        <v>1766.4299999999998</v>
      </c>
      <c r="C56" s="135">
        <f>+'[1]Resum dades per a Ajuntaments'!$L54</f>
        <v>0</v>
      </c>
      <c r="D56" s="135">
        <f>+'[1]Resum dades per a Ajuntaments'!$M54</f>
        <v>0</v>
      </c>
      <c r="E56" s="194">
        <f t="shared" si="0"/>
        <v>1766.4299999999998</v>
      </c>
      <c r="F56" s="165">
        <f t="shared" si="1"/>
        <v>12.581068224476626</v>
      </c>
      <c r="G56" s="113">
        <f t="shared" si="2"/>
        <v>1779.7217780274964</v>
      </c>
      <c r="H56" s="113">
        <f t="shared" si="3"/>
        <v>1.4215896298843646E-2</v>
      </c>
      <c r="I56" s="113">
        <f t="shared" si="4"/>
        <v>1.3529906204189994E-2</v>
      </c>
      <c r="K56">
        <f t="shared" si="5"/>
        <v>12.581068224476626</v>
      </c>
      <c r="L56" s="15">
        <f t="shared" si="6"/>
        <v>3398.136</v>
      </c>
      <c r="Q56" s="15" t="str">
        <f t="shared" si="7"/>
        <v>020</v>
      </c>
      <c r="R56" s="170" t="s">
        <v>161</v>
      </c>
      <c r="S56" s="203" t="s">
        <v>509</v>
      </c>
      <c r="T56" s="203">
        <v>17775</v>
      </c>
      <c r="U56" s="204">
        <v>20138.79</v>
      </c>
      <c r="W56" s="250" t="s">
        <v>298</v>
      </c>
      <c r="X56" s="251" t="s">
        <v>547</v>
      </c>
    </row>
    <row r="57" spans="1:24" ht="43.5">
      <c r="A57" s="170" t="s">
        <v>346</v>
      </c>
      <c r="B57" s="194">
        <f>+'[1]Resum dades per a Ajuntaments'!$N55</f>
        <v>643.6</v>
      </c>
      <c r="C57" s="135">
        <f>+'[1]Resum dades per a Ajuntaments'!$L55</f>
        <v>0</v>
      </c>
      <c r="D57" s="135">
        <f>+'[1]Resum dades per a Ajuntaments'!$M55</f>
        <v>0</v>
      </c>
      <c r="E57" s="194">
        <f t="shared" si="0"/>
        <v>643.6</v>
      </c>
      <c r="F57" s="165">
        <f t="shared" si="1"/>
        <v>4.5839209644724992</v>
      </c>
      <c r="G57" s="113">
        <f t="shared" si="2"/>
        <v>648.44286857588281</v>
      </c>
      <c r="H57" s="113">
        <f t="shared" si="3"/>
        <v>5.1795717112683611E-3</v>
      </c>
      <c r="I57" s="113">
        <f t="shared" si="4"/>
        <v>4.9296307428070632E-3</v>
      </c>
      <c r="K57">
        <f t="shared" si="5"/>
        <v>4.5839209644724992</v>
      </c>
      <c r="L57" s="15">
        <f t="shared" si="6"/>
        <v>1141.961</v>
      </c>
      <c r="Q57" s="15" t="str">
        <f t="shared" si="7"/>
        <v>037</v>
      </c>
      <c r="R57" s="170" t="s">
        <v>346</v>
      </c>
      <c r="S57" s="203" t="s">
        <v>449</v>
      </c>
      <c r="T57" s="203">
        <v>1348</v>
      </c>
      <c r="U57" s="204">
        <v>1574.0609999999999</v>
      </c>
      <c r="W57" s="250" t="s">
        <v>300</v>
      </c>
      <c r="X57" s="251" t="s">
        <v>449</v>
      </c>
    </row>
    <row r="58" spans="1:24" ht="29">
      <c r="A58" s="170" t="s">
        <v>162</v>
      </c>
      <c r="B58" s="194">
        <f>+'[1]Resum dades per a Ajuntaments'!$N56</f>
        <v>407.01578468651746</v>
      </c>
      <c r="C58" s="135">
        <f>+'[1]Resum dades per a Ajuntaments'!$L56</f>
        <v>0</v>
      </c>
      <c r="D58" s="135">
        <f>+'[1]Resum dades per a Ajuntaments'!$M56</f>
        <v>0</v>
      </c>
      <c r="E58" s="194">
        <f t="shared" si="0"/>
        <v>407.01578468651746</v>
      </c>
      <c r="F58" s="165">
        <f t="shared" si="1"/>
        <v>2.8988940153756251</v>
      </c>
      <c r="G58" s="113">
        <f t="shared" si="2"/>
        <v>410.07843843658992</v>
      </c>
      <c r="H58" s="113">
        <f t="shared" si="3"/>
        <v>3.2755864580515538E-3</v>
      </c>
      <c r="I58" s="113">
        <f t="shared" si="4"/>
        <v>3.1175225683629537E-3</v>
      </c>
      <c r="K58">
        <f t="shared" si="5"/>
        <v>2.8988940153756251</v>
      </c>
      <c r="L58" s="15">
        <f t="shared" si="6"/>
        <v>742.16300000000001</v>
      </c>
      <c r="Q58" s="15" t="str">
        <f t="shared" si="7"/>
        <v>156</v>
      </c>
      <c r="R58" s="170" t="s">
        <v>162</v>
      </c>
      <c r="S58" s="203" t="s">
        <v>450</v>
      </c>
      <c r="T58" s="203">
        <v>1330</v>
      </c>
      <c r="U58" s="204">
        <v>1401</v>
      </c>
      <c r="W58" s="250" t="s">
        <v>265</v>
      </c>
      <c r="X58" s="251" t="s">
        <v>450</v>
      </c>
    </row>
    <row r="59" spans="1:24" ht="29">
      <c r="A59" s="170" t="s">
        <v>163</v>
      </c>
      <c r="B59" s="194">
        <f>+'[1]Resum dades per a Ajuntaments'!$N57</f>
        <v>171.18</v>
      </c>
      <c r="C59" s="135">
        <f>+'[1]Resum dades per a Ajuntaments'!$L57</f>
        <v>0</v>
      </c>
      <c r="D59" s="135">
        <f>+'[1]Resum dades per a Ajuntaments'!$M57</f>
        <v>2</v>
      </c>
      <c r="E59" s="194">
        <f t="shared" si="0"/>
        <v>173.18</v>
      </c>
      <c r="F59" s="165">
        <f t="shared" si="1"/>
        <v>1.2191976238321975</v>
      </c>
      <c r="G59" s="113">
        <f t="shared" si="2"/>
        <v>172.46807060723995</v>
      </c>
      <c r="H59" s="113">
        <f t="shared" si="3"/>
        <v>1.3776244337086981E-3</v>
      </c>
      <c r="I59" s="113">
        <f t="shared" si="4"/>
        <v>1.3111469710281433E-3</v>
      </c>
      <c r="K59">
        <f t="shared" si="5"/>
        <v>1.2191976238321975</v>
      </c>
      <c r="L59" s="15">
        <f t="shared" si="6"/>
        <v>555.95000000000005</v>
      </c>
      <c r="Q59" s="15" t="str">
        <f t="shared" si="7"/>
        <v>155</v>
      </c>
      <c r="R59" s="170" t="s">
        <v>163</v>
      </c>
      <c r="S59" s="203" t="s">
        <v>451</v>
      </c>
      <c r="T59" s="203">
        <v>486</v>
      </c>
      <c r="U59" s="204">
        <v>499.55</v>
      </c>
      <c r="W59" s="250" t="s">
        <v>264</v>
      </c>
      <c r="X59" s="251" t="s">
        <v>451</v>
      </c>
    </row>
    <row r="60" spans="1:24" ht="29">
      <c r="A60" s="170" t="s">
        <v>347</v>
      </c>
      <c r="B60" s="194">
        <f>+'[1]Resum dades per a Ajuntaments'!$N58</f>
        <v>251.94400000000002</v>
      </c>
      <c r="C60" s="135">
        <f>+'[1]Resum dades per a Ajuntaments'!$L58</f>
        <v>0</v>
      </c>
      <c r="D60" s="135">
        <f>+'[1]Resum dades per a Ajuntaments'!$M58</f>
        <v>0</v>
      </c>
      <c r="E60" s="194">
        <f t="shared" si="0"/>
        <v>251.94400000000002</v>
      </c>
      <c r="F60" s="165">
        <f t="shared" si="1"/>
        <v>1.7944241508282464</v>
      </c>
      <c r="G60" s="113">
        <f t="shared" si="2"/>
        <v>253.83979192119676</v>
      </c>
      <c r="H60" s="113">
        <f t="shared" si="3"/>
        <v>2.0275979105403917E-3</v>
      </c>
      <c r="I60" s="113">
        <f t="shared" si="4"/>
        <v>1.9297558854347154E-3</v>
      </c>
      <c r="K60">
        <f t="shared" si="5"/>
        <v>1.7944241508282464</v>
      </c>
      <c r="L60" s="15">
        <f t="shared" si="6"/>
        <v>499.55</v>
      </c>
      <c r="Q60" s="15" t="str">
        <f t="shared" si="7"/>
        <v>153</v>
      </c>
      <c r="R60" s="170" t="s">
        <v>347</v>
      </c>
      <c r="S60" s="203" t="s">
        <v>452</v>
      </c>
      <c r="T60" s="203">
        <v>411</v>
      </c>
      <c r="U60" s="204">
        <v>555.95000000000005</v>
      </c>
      <c r="W60" s="250" t="s">
        <v>263</v>
      </c>
      <c r="X60" s="251" t="s">
        <v>452</v>
      </c>
    </row>
    <row r="61" spans="1:24">
      <c r="A61" s="170" t="s">
        <v>164</v>
      </c>
      <c r="B61" s="194">
        <f>+'[1]Resum dades per a Ajuntaments'!$N59</f>
        <v>658.96732543910468</v>
      </c>
      <c r="C61" s="135">
        <f>+'[1]Resum dades per a Ajuntaments'!$L59</f>
        <v>0</v>
      </c>
      <c r="D61" s="135">
        <f>+'[1]Resum dades per a Ajuntaments'!$M59</f>
        <v>0</v>
      </c>
      <c r="E61" s="194">
        <f t="shared" si="0"/>
        <v>658.96732543910468</v>
      </c>
      <c r="F61" s="165">
        <f t="shared" si="1"/>
        <v>4.6933718738077754</v>
      </c>
      <c r="G61" s="113">
        <f t="shared" si="2"/>
        <v>663.92582785194281</v>
      </c>
      <c r="H61" s="113">
        <f t="shared" si="3"/>
        <v>5.3032450551500293E-3</v>
      </c>
      <c r="I61" s="113">
        <f t="shared" si="4"/>
        <v>5.047336211917274E-3</v>
      </c>
      <c r="K61">
        <f t="shared" si="5"/>
        <v>4.6933718738077754</v>
      </c>
      <c r="L61" s="15">
        <f t="shared" si="6"/>
        <v>1401</v>
      </c>
      <c r="Q61" s="15" t="str">
        <f t="shared" si="7"/>
        <v>152</v>
      </c>
      <c r="R61" s="170" t="s">
        <v>164</v>
      </c>
      <c r="S61" s="203" t="s">
        <v>453</v>
      </c>
      <c r="T61" s="203">
        <v>665</v>
      </c>
      <c r="U61" s="204">
        <v>742.16300000000001</v>
      </c>
      <c r="W61" s="250" t="s">
        <v>262</v>
      </c>
      <c r="X61" s="251" t="s">
        <v>453</v>
      </c>
    </row>
    <row r="62" spans="1:24">
      <c r="A62" s="170" t="s">
        <v>165</v>
      </c>
      <c r="B62" s="194">
        <f>+'[1]Resum dades per a Ajuntaments'!$N60</f>
        <v>2647.9519204730459</v>
      </c>
      <c r="C62" s="135">
        <f>+'[1]Resum dades per a Ajuntaments'!$L60</f>
        <v>0</v>
      </c>
      <c r="D62" s="135">
        <f>+'[1]Resum dades per a Ajuntaments'!$M60</f>
        <v>0</v>
      </c>
      <c r="E62" s="194">
        <f t="shared" si="0"/>
        <v>2647.9519204730459</v>
      </c>
      <c r="F62" s="165">
        <f t="shared" si="1"/>
        <v>18.859543693554397</v>
      </c>
      <c r="G62" s="113">
        <f t="shared" si="2"/>
        <v>2667.8768476733371</v>
      </c>
      <c r="H62" s="113">
        <f t="shared" si="3"/>
        <v>2.1310218862773334E-2</v>
      </c>
      <c r="I62" s="113">
        <f t="shared" si="4"/>
        <v>2.0281891225355703E-2</v>
      </c>
      <c r="K62">
        <f t="shared" si="5"/>
        <v>18.859543693554397</v>
      </c>
      <c r="L62" s="15">
        <f t="shared" si="6"/>
        <v>6096.6779999999999</v>
      </c>
      <c r="Q62" s="15" t="str">
        <f t="shared" si="7"/>
        <v>185</v>
      </c>
      <c r="R62" s="170" t="s">
        <v>165</v>
      </c>
      <c r="S62" s="203" t="s">
        <v>498</v>
      </c>
      <c r="T62" s="203">
        <v>2018</v>
      </c>
      <c r="U62" s="204">
        <v>2212.15</v>
      </c>
      <c r="W62" s="250" t="s">
        <v>258</v>
      </c>
      <c r="X62" s="251" t="s">
        <v>548</v>
      </c>
    </row>
    <row r="63" spans="1:24">
      <c r="A63" s="170" t="s">
        <v>166</v>
      </c>
      <c r="B63" s="194">
        <f>+'[1]Resum dades per a Ajuntaments'!$N61</f>
        <v>1654.1399999999999</v>
      </c>
      <c r="C63" s="135">
        <f>+'[1]Resum dades per a Ajuntaments'!$L61</f>
        <v>0</v>
      </c>
      <c r="D63" s="135">
        <f>+'[1]Resum dades per a Ajuntaments'!$M61</f>
        <v>0</v>
      </c>
      <c r="E63" s="194">
        <f t="shared" si="0"/>
        <v>1654.1399999999999</v>
      </c>
      <c r="F63" s="165">
        <f t="shared" si="1"/>
        <v>11.781303642281758</v>
      </c>
      <c r="G63" s="113">
        <f t="shared" si="2"/>
        <v>1666.5868344097432</v>
      </c>
      <c r="H63" s="113">
        <f t="shared" si="3"/>
        <v>1.3312207505403116E-2</v>
      </c>
      <c r="I63" s="113">
        <f t="shared" si="4"/>
        <v>1.266982504180683E-2</v>
      </c>
      <c r="K63">
        <f t="shared" si="5"/>
        <v>11.781303642281758</v>
      </c>
      <c r="L63" s="15">
        <f t="shared" si="6"/>
        <v>5107.5339999999997</v>
      </c>
      <c r="Q63" s="15" t="str">
        <f t="shared" si="7"/>
        <v>170</v>
      </c>
      <c r="R63" s="170" t="s">
        <v>166</v>
      </c>
      <c r="S63" s="203" t="s">
        <v>454</v>
      </c>
      <c r="T63" s="203">
        <v>4721</v>
      </c>
      <c r="U63" s="204">
        <v>5107.5339999999997</v>
      </c>
      <c r="W63" s="250" t="s">
        <v>267</v>
      </c>
      <c r="X63" s="251" t="s">
        <v>454</v>
      </c>
    </row>
    <row r="64" spans="1:24">
      <c r="A64" s="170" t="s">
        <v>167</v>
      </c>
      <c r="B64" s="194">
        <f>+'[1]Resum dades per a Ajuntaments'!$N62</f>
        <v>1639.9438658775662</v>
      </c>
      <c r="C64" s="135">
        <f>+'[1]Resum dades per a Ajuntaments'!$L62</f>
        <v>0</v>
      </c>
      <c r="D64" s="135">
        <f>+'[1]Resum dades per a Ajuntaments'!$M62</f>
        <v>0</v>
      </c>
      <c r="E64" s="194">
        <f t="shared" si="0"/>
        <v>1639.9438658775662</v>
      </c>
      <c r="F64" s="165">
        <f t="shared" si="1"/>
        <v>11.680194324664781</v>
      </c>
      <c r="G64" s="113">
        <f t="shared" si="2"/>
        <v>1652.2838792620755</v>
      </c>
      <c r="H64" s="113">
        <f t="shared" si="3"/>
        <v>1.3197959688886757E-2</v>
      </c>
      <c r="I64" s="113">
        <f t="shared" si="4"/>
        <v>1.2561090269900425E-2</v>
      </c>
      <c r="K64">
        <f t="shared" si="5"/>
        <v>11.680194324664781</v>
      </c>
      <c r="L64" s="15">
        <f t="shared" si="6"/>
        <v>3455.4870000000001</v>
      </c>
      <c r="Q64" s="15" t="str">
        <f t="shared" si="7"/>
        <v>172</v>
      </c>
      <c r="R64" s="170" t="s">
        <v>167</v>
      </c>
      <c r="S64" s="203" t="s">
        <v>455</v>
      </c>
      <c r="T64" s="203">
        <v>2975</v>
      </c>
      <c r="U64" s="204">
        <v>3455.4870000000001</v>
      </c>
      <c r="W64" s="250" t="s">
        <v>268</v>
      </c>
      <c r="X64" s="251" t="s">
        <v>455</v>
      </c>
    </row>
    <row r="65" spans="1:24" ht="29">
      <c r="A65" s="170" t="s">
        <v>168</v>
      </c>
      <c r="B65" s="194">
        <f>+'[1]Resum dades per a Ajuntaments'!$N63</f>
        <v>527.83282609243406</v>
      </c>
      <c r="C65" s="135">
        <f>+'[1]Resum dades per a Ajuntaments'!$L63</f>
        <v>0</v>
      </c>
      <c r="D65" s="135">
        <f>+'[1]Resum dades per a Ajuntaments'!$M63</f>
        <v>0</v>
      </c>
      <c r="E65" s="194">
        <f t="shared" si="0"/>
        <v>527.83282609243406</v>
      </c>
      <c r="F65" s="165">
        <f t="shared" si="1"/>
        <v>3.7593908596362264</v>
      </c>
      <c r="G65" s="113">
        <f t="shared" si="2"/>
        <v>531.80458651319611</v>
      </c>
      <c r="H65" s="113">
        <f t="shared" si="3"/>
        <v>4.2478992764251149E-3</v>
      </c>
      <c r="I65" s="113">
        <f t="shared" si="4"/>
        <v>4.0429162936109339E-3</v>
      </c>
      <c r="K65">
        <f t="shared" si="5"/>
        <v>3.7593908596362264</v>
      </c>
      <c r="L65" s="15">
        <f t="shared" si="6"/>
        <v>1149.1500000000001</v>
      </c>
      <c r="Q65" s="15" t="str">
        <f t="shared" si="7"/>
        <v>175</v>
      </c>
      <c r="R65" s="170" t="s">
        <v>168</v>
      </c>
      <c r="S65" s="203" t="s">
        <v>456</v>
      </c>
      <c r="T65" s="203">
        <v>963</v>
      </c>
      <c r="U65" s="204">
        <v>1149.1500000000001</v>
      </c>
      <c r="W65" s="250" t="s">
        <v>269</v>
      </c>
      <c r="X65" s="251" t="s">
        <v>456</v>
      </c>
    </row>
    <row r="66" spans="1:24">
      <c r="A66" s="170" t="s">
        <v>169</v>
      </c>
      <c r="B66" s="194">
        <f>+'[1]Resum dades per a Ajuntaments'!$N64</f>
        <v>420.23599999999999</v>
      </c>
      <c r="C66" s="135">
        <f>+'[1]Resum dades per a Ajuntaments'!$L64</f>
        <v>0</v>
      </c>
      <c r="D66" s="135">
        <f>+'[1]Resum dades per a Ajuntaments'!$M64</f>
        <v>0</v>
      </c>
      <c r="E66" s="194">
        <f t="shared" si="0"/>
        <v>420.23599999999999</v>
      </c>
      <c r="F66" s="165">
        <f t="shared" si="1"/>
        <v>2.9930525332909648</v>
      </c>
      <c r="G66" s="113">
        <f t="shared" si="2"/>
        <v>423.39813132202408</v>
      </c>
      <c r="H66" s="113">
        <f t="shared" si="3"/>
        <v>3.3819802636056106E-3</v>
      </c>
      <c r="I66" s="113">
        <f t="shared" si="4"/>
        <v>3.2187823257213621E-3</v>
      </c>
      <c r="K66">
        <f t="shared" si="5"/>
        <v>2.9930525332909648</v>
      </c>
      <c r="L66" s="15">
        <f t="shared" si="6"/>
        <v>942.07500000000005</v>
      </c>
      <c r="Q66" s="15" t="str">
        <f t="shared" si="7"/>
        <v>176</v>
      </c>
      <c r="R66" s="170" t="s">
        <v>169</v>
      </c>
      <c r="S66" s="203" t="s">
        <v>457</v>
      </c>
      <c r="T66" s="203">
        <v>812</v>
      </c>
      <c r="U66" s="204">
        <v>942.07500000000005</v>
      </c>
      <c r="W66" s="250" t="s">
        <v>270</v>
      </c>
      <c r="X66" s="251" t="s">
        <v>457</v>
      </c>
    </row>
    <row r="67" spans="1:24">
      <c r="A67" s="170" t="s">
        <v>348</v>
      </c>
      <c r="B67" s="194">
        <f>+'[1]Resum dades per a Ajuntaments'!$N65</f>
        <v>162.32542831135842</v>
      </c>
      <c r="C67" s="135">
        <f>+'[1]Resum dades per a Ajuntaments'!$L65</f>
        <v>0</v>
      </c>
      <c r="D67" s="135">
        <f>+'[1]Resum dades per a Ajuntaments'!$M65</f>
        <v>0</v>
      </c>
      <c r="E67" s="194">
        <f t="shared" si="0"/>
        <v>162.32542831135842</v>
      </c>
      <c r="F67" s="165">
        <f t="shared" si="1"/>
        <v>1.1561325884142537</v>
      </c>
      <c r="G67" s="113">
        <f t="shared" si="2"/>
        <v>163.5468713129678</v>
      </c>
      <c r="H67" s="113">
        <f t="shared" si="3"/>
        <v>1.3063645066827725E-3</v>
      </c>
      <c r="I67" s="113">
        <f t="shared" si="4"/>
        <v>1.2433257019002432E-3</v>
      </c>
      <c r="K67">
        <f t="shared" si="5"/>
        <v>1.1561325884142537</v>
      </c>
      <c r="L67" s="15">
        <f t="shared" si="6"/>
        <v>401.75</v>
      </c>
      <c r="Q67" s="15" t="str">
        <f t="shared" si="7"/>
        <v>177</v>
      </c>
      <c r="R67" s="170" t="s">
        <v>348</v>
      </c>
      <c r="S67" s="203" t="s">
        <v>502</v>
      </c>
      <c r="T67" s="203">
        <v>385</v>
      </c>
      <c r="U67" s="204">
        <v>401.75</v>
      </c>
      <c r="W67" s="250" t="s">
        <v>271</v>
      </c>
      <c r="X67" s="251" t="s">
        <v>549</v>
      </c>
    </row>
    <row r="68" spans="1:24">
      <c r="A68" s="170" t="s">
        <v>170</v>
      </c>
      <c r="B68" s="194">
        <f>+'[1]Resum dades per a Ajuntaments'!$N66</f>
        <v>1041.533852</v>
      </c>
      <c r="C68" s="135">
        <f>+'[1]Resum dades per a Ajuntaments'!$L66</f>
        <v>0</v>
      </c>
      <c r="D68" s="135">
        <f>+'[1]Resum dades per a Ajuntaments'!$M66</f>
        <v>0</v>
      </c>
      <c r="E68" s="194">
        <f t="shared" si="0"/>
        <v>1041.533852</v>
      </c>
      <c r="F68" s="165">
        <f t="shared" si="1"/>
        <v>7.4181306081270932</v>
      </c>
      <c r="G68" s="113">
        <f t="shared" si="2"/>
        <v>1049.3710359070369</v>
      </c>
      <c r="H68" s="113">
        <f t="shared" si="3"/>
        <v>8.3820684837594278E-3</v>
      </c>
      <c r="I68" s="113">
        <f t="shared" si="4"/>
        <v>7.9775905787654779E-3</v>
      </c>
      <c r="K68">
        <f t="shared" si="5"/>
        <v>7.4181306081270932</v>
      </c>
      <c r="L68" s="15">
        <f t="shared" si="6"/>
        <v>2098.335</v>
      </c>
      <c r="Q68" s="15" t="str">
        <f t="shared" si="7"/>
        <v>181</v>
      </c>
      <c r="R68" s="170" t="s">
        <v>170</v>
      </c>
      <c r="S68" s="203" t="s">
        <v>503</v>
      </c>
      <c r="T68" s="203">
        <v>1895</v>
      </c>
      <c r="U68" s="204">
        <v>2098.335</v>
      </c>
      <c r="W68" s="250" t="s">
        <v>272</v>
      </c>
      <c r="X68" s="251" t="s">
        <v>550</v>
      </c>
    </row>
    <row r="69" spans="1:24">
      <c r="A69" s="170" t="s">
        <v>171</v>
      </c>
      <c r="B69" s="194">
        <f>+'[1]Resum dades per a Ajuntaments'!$N67</f>
        <v>317.47600000000006</v>
      </c>
      <c r="C69" s="135">
        <f>+'[1]Resum dades per a Ajuntaments'!$L67</f>
        <v>0</v>
      </c>
      <c r="D69" s="135">
        <f>+'[1]Resum dades per a Ajuntaments'!$M67</f>
        <v>0</v>
      </c>
      <c r="E69" s="194">
        <f t="shared" ref="E69:E96" si="8">+B69+C69+D69</f>
        <v>317.47600000000006</v>
      </c>
      <c r="F69" s="165">
        <f t="shared" ref="F69:F96" si="9">K69</f>
        <v>2.2611635986899805</v>
      </c>
      <c r="G69" s="113">
        <f t="shared" ref="G69:G96" si="10">B69*$G$108</f>
        <v>319.86489767557026</v>
      </c>
      <c r="H69" s="113">
        <f t="shared" ref="H69:H96" si="11">G69/$G$97</f>
        <v>2.5549871171638202E-3</v>
      </c>
      <c r="I69" s="113">
        <f t="shared" ref="I69:I96" si="12">F69/$F$97</f>
        <v>2.4316958509997132E-3</v>
      </c>
      <c r="K69">
        <f t="shared" ref="K69:K95" si="13">B69/$B$97*$F$99</f>
        <v>2.2611635986899805</v>
      </c>
      <c r="L69" s="15">
        <f t="shared" ref="L69:L96" si="14">+INDEX($R$4:$U$96,MATCH(R69,$S$4:$S$96,0),4)</f>
        <v>649.4</v>
      </c>
      <c r="Q69" s="15" t="str">
        <f t="shared" ref="Q69:Q96" si="15">+INDEX($R$4:$X$96,MATCH(R69,$S$4:$S$96,0),6)</f>
        <v>182</v>
      </c>
      <c r="R69" s="170" t="s">
        <v>171</v>
      </c>
      <c r="S69" s="203" t="s">
        <v>504</v>
      </c>
      <c r="T69" s="203">
        <v>527</v>
      </c>
      <c r="U69" s="204">
        <v>649.4</v>
      </c>
      <c r="W69" s="250" t="s">
        <v>273</v>
      </c>
      <c r="X69" s="251" t="s">
        <v>551</v>
      </c>
    </row>
    <row r="70" spans="1:24">
      <c r="A70" s="170" t="s">
        <v>172</v>
      </c>
      <c r="B70" s="194">
        <f>+'[1]Resum dades per a Ajuntaments'!$N68</f>
        <v>11825.479999999998</v>
      </c>
      <c r="C70" s="135">
        <f>+'[1]Resum dades per a Ajuntaments'!$L68</f>
        <v>0</v>
      </c>
      <c r="D70" s="135">
        <f>+'[1]Resum dades per a Ajuntaments'!$M68</f>
        <v>91.72</v>
      </c>
      <c r="E70" s="194">
        <f t="shared" si="8"/>
        <v>11917.199999999997</v>
      </c>
      <c r="F70" s="165">
        <f t="shared" si="9"/>
        <v>84.224775772141456</v>
      </c>
      <c r="G70" s="113">
        <f t="shared" si="10"/>
        <v>11914.462668562352</v>
      </c>
      <c r="H70" s="113">
        <f t="shared" si="11"/>
        <v>9.5169238160611819E-2</v>
      </c>
      <c r="I70" s="113">
        <f t="shared" si="12"/>
        <v>9.0576833058499159E-2</v>
      </c>
      <c r="K70">
        <f t="shared" si="13"/>
        <v>84.224775772141456</v>
      </c>
      <c r="L70" s="15">
        <f t="shared" si="14"/>
        <v>25459.929</v>
      </c>
      <c r="Q70" s="15" t="str">
        <f t="shared" si="15"/>
        <v>183</v>
      </c>
      <c r="R70" s="170" t="s">
        <v>172</v>
      </c>
      <c r="S70" s="203" t="s">
        <v>458</v>
      </c>
      <c r="T70" s="203">
        <v>22778</v>
      </c>
      <c r="U70" s="204">
        <v>25459.929</v>
      </c>
      <c r="W70" s="250" t="s">
        <v>274</v>
      </c>
      <c r="X70" s="251" t="s">
        <v>458</v>
      </c>
    </row>
    <row r="71" spans="1:24">
      <c r="A71" s="170" t="s">
        <v>173</v>
      </c>
      <c r="B71" s="194">
        <f>+'[1]Resum dades per a Ajuntaments'!$N69</f>
        <v>11076.24670590339</v>
      </c>
      <c r="C71" s="135">
        <f>+'[1]Resum dades per a Ajuntaments'!$L69</f>
        <v>0</v>
      </c>
      <c r="D71" s="135">
        <f>+'[1]Resum dades per a Ajuntaments'!$M69</f>
        <v>10.400274451097804</v>
      </c>
      <c r="E71" s="194">
        <f t="shared" si="8"/>
        <v>11086.646980354488</v>
      </c>
      <c r="F71" s="165">
        <f t="shared" si="9"/>
        <v>78.888501371752653</v>
      </c>
      <c r="G71" s="113">
        <f t="shared" si="10"/>
        <v>11159.591651693858</v>
      </c>
      <c r="H71" s="113">
        <f t="shared" si="11"/>
        <v>8.9139549572601881E-2</v>
      </c>
      <c r="I71" s="113">
        <f t="shared" si="12"/>
        <v>8.4838107949559996E-2</v>
      </c>
      <c r="K71">
        <f t="shared" si="13"/>
        <v>78.888501371752653</v>
      </c>
      <c r="L71" s="15">
        <f t="shared" si="14"/>
        <v>23123.4</v>
      </c>
      <c r="Q71" s="15" t="str">
        <f t="shared" si="15"/>
        <v>186</v>
      </c>
      <c r="R71" s="170" t="s">
        <v>173</v>
      </c>
      <c r="S71" s="203" t="s">
        <v>501</v>
      </c>
      <c r="T71" s="203">
        <v>5158</v>
      </c>
      <c r="U71" s="204">
        <v>6096.6779999999999</v>
      </c>
      <c r="W71" s="250" t="s">
        <v>266</v>
      </c>
      <c r="X71" s="251" t="s">
        <v>552</v>
      </c>
    </row>
    <row r="72" spans="1:24">
      <c r="A72" s="170" t="s">
        <v>174</v>
      </c>
      <c r="B72" s="194">
        <f>+'[1]Resum dades per a Ajuntaments'!$N70</f>
        <v>117.78278101286723</v>
      </c>
      <c r="C72" s="135">
        <f>+'[1]Resum dades per a Ajuntaments'!$L70</f>
        <v>22.509</v>
      </c>
      <c r="D72" s="135">
        <f>+'[1]Resum dades per a Ajuntaments'!$M70</f>
        <v>0</v>
      </c>
      <c r="E72" s="194">
        <f t="shared" si="8"/>
        <v>140.29178101286723</v>
      </c>
      <c r="F72" s="165">
        <f t="shared" si="9"/>
        <v>0.83888589052012985</v>
      </c>
      <c r="G72" s="113">
        <f t="shared" si="10"/>
        <v>118.66905591800599</v>
      </c>
      <c r="H72" s="113">
        <f t="shared" si="11"/>
        <v>9.4789366160466656E-4</v>
      </c>
      <c r="I72" s="113">
        <f t="shared" si="12"/>
        <v>9.0215291835665378E-4</v>
      </c>
      <c r="K72">
        <f t="shared" si="13"/>
        <v>0.83888589052012985</v>
      </c>
      <c r="L72" s="15">
        <f t="shared" si="14"/>
        <v>282.38499999999999</v>
      </c>
      <c r="Q72" s="15" t="str">
        <f t="shared" si="15"/>
        <v>187</v>
      </c>
      <c r="R72" s="170" t="s">
        <v>174</v>
      </c>
      <c r="S72" s="203" t="s">
        <v>459</v>
      </c>
      <c r="T72" s="203">
        <v>20802</v>
      </c>
      <c r="U72" s="204">
        <v>23123.4</v>
      </c>
      <c r="W72" s="250" t="s">
        <v>275</v>
      </c>
      <c r="X72" s="251" t="s">
        <v>459</v>
      </c>
    </row>
    <row r="73" spans="1:24" ht="29">
      <c r="A73" s="170" t="s">
        <v>175</v>
      </c>
      <c r="B73" s="194">
        <f>+'[1]Resum dades per a Ajuntaments'!$N71</f>
        <v>843.66000000000008</v>
      </c>
      <c r="C73" s="135">
        <f>+'[1]Resum dades per a Ajuntaments'!$L71</f>
        <v>0</v>
      </c>
      <c r="D73" s="135">
        <f>+'[1]Resum dades per a Ajuntaments'!$M71</f>
        <v>3.36</v>
      </c>
      <c r="E73" s="194">
        <f t="shared" si="8"/>
        <v>847.0200000000001</v>
      </c>
      <c r="F73" s="165">
        <f t="shared" si="9"/>
        <v>6.0088110019994865</v>
      </c>
      <c r="G73" s="113">
        <f t="shared" si="10"/>
        <v>850.00825124724884</v>
      </c>
      <c r="H73" s="113">
        <f t="shared" si="11"/>
        <v>6.7896169514118487E-3</v>
      </c>
      <c r="I73" s="113">
        <f t="shared" si="12"/>
        <v>6.4619830212501676E-3</v>
      </c>
      <c r="K73">
        <f t="shared" si="13"/>
        <v>6.0088110019994865</v>
      </c>
      <c r="L73" s="15">
        <f t="shared" si="14"/>
        <v>1640</v>
      </c>
      <c r="Q73" s="15" t="str">
        <f t="shared" si="15"/>
        <v>189</v>
      </c>
      <c r="R73" s="170" t="s">
        <v>175</v>
      </c>
      <c r="S73" s="203" t="s">
        <v>460</v>
      </c>
      <c r="T73" s="203">
        <v>265</v>
      </c>
      <c r="U73" s="204">
        <v>282.38499999999999</v>
      </c>
      <c r="W73" s="250" t="s">
        <v>276</v>
      </c>
      <c r="X73" s="251" t="s">
        <v>460</v>
      </c>
    </row>
    <row r="74" spans="1:24">
      <c r="A74" s="170" t="s">
        <v>176</v>
      </c>
      <c r="B74" s="194">
        <f>+'[1]Resum dades per a Ajuntaments'!$N72</f>
        <v>350.65999999999997</v>
      </c>
      <c r="C74" s="135">
        <f>+'[1]Resum dades per a Ajuntaments'!$L72</f>
        <v>0</v>
      </c>
      <c r="D74" s="135">
        <f>+'[1]Resum dades per a Ajuntaments'!$M72</f>
        <v>2.2400000000000002</v>
      </c>
      <c r="E74" s="194">
        <f t="shared" si="8"/>
        <v>352.9</v>
      </c>
      <c r="F74" s="165">
        <f t="shared" si="9"/>
        <v>2.4975104496611662</v>
      </c>
      <c r="G74" s="113">
        <f t="shared" si="10"/>
        <v>353.2985958589482</v>
      </c>
      <c r="H74" s="113">
        <f t="shared" si="11"/>
        <v>2.8220457058318262E-3</v>
      </c>
      <c r="I74" s="113">
        <f t="shared" si="12"/>
        <v>2.6858674895474284E-3</v>
      </c>
      <c r="K74">
        <f t="shared" si="13"/>
        <v>2.4975104496611662</v>
      </c>
      <c r="L74" s="15">
        <f t="shared" si="14"/>
        <v>660.45</v>
      </c>
      <c r="Q74" s="15" t="str">
        <f t="shared" si="15"/>
        <v>190</v>
      </c>
      <c r="R74" s="170" t="s">
        <v>176</v>
      </c>
      <c r="S74" s="203" t="s">
        <v>461</v>
      </c>
      <c r="T74" s="203">
        <v>1527</v>
      </c>
      <c r="U74" s="204">
        <v>1640</v>
      </c>
      <c r="W74" s="250" t="s">
        <v>277</v>
      </c>
      <c r="X74" s="251" t="s">
        <v>461</v>
      </c>
    </row>
    <row r="75" spans="1:24">
      <c r="A75" s="170" t="s">
        <v>177</v>
      </c>
      <c r="B75" s="194">
        <f>+'[1]Resum dades per a Ajuntaments'!$N73</f>
        <v>1260.2599999999998</v>
      </c>
      <c r="C75" s="135">
        <f>+'[1]Resum dades per a Ajuntaments'!$L73</f>
        <v>0</v>
      </c>
      <c r="D75" s="135">
        <f>+'[1]Resum dades per a Ajuntaments'!$M73</f>
        <v>5.9200000000000008</v>
      </c>
      <c r="E75" s="194">
        <f t="shared" si="8"/>
        <v>1266.1799999999998</v>
      </c>
      <c r="F75" s="165">
        <f t="shared" si="9"/>
        <v>8.9759668034277666</v>
      </c>
      <c r="G75" s="113">
        <f t="shared" si="10"/>
        <v>1269.7430229202018</v>
      </c>
      <c r="H75" s="113">
        <f t="shared" si="11"/>
        <v>1.0142335371104821E-2</v>
      </c>
      <c r="I75" s="113">
        <f t="shared" si="12"/>
        <v>9.6529155374922744E-3</v>
      </c>
      <c r="K75">
        <f t="shared" si="13"/>
        <v>8.9759668034277666</v>
      </c>
      <c r="L75" s="15">
        <f t="shared" si="14"/>
        <v>3947.72</v>
      </c>
      <c r="Q75" s="15" t="str">
        <f t="shared" si="15"/>
        <v>197</v>
      </c>
      <c r="R75" s="170" t="s">
        <v>177</v>
      </c>
      <c r="S75" s="203" t="s">
        <v>462</v>
      </c>
      <c r="T75" s="203">
        <v>561</v>
      </c>
      <c r="U75" s="204">
        <v>660.45</v>
      </c>
      <c r="W75" s="250" t="s">
        <v>278</v>
      </c>
      <c r="X75" s="251" t="s">
        <v>462</v>
      </c>
    </row>
    <row r="76" spans="1:24">
      <c r="A76" s="170" t="s">
        <v>178</v>
      </c>
      <c r="B76" s="194">
        <f>+'[1]Resum dades per a Ajuntaments'!$N74</f>
        <v>44.063820294676979</v>
      </c>
      <c r="C76" s="135">
        <f>+'[1]Resum dades per a Ajuntaments'!$L74</f>
        <v>0</v>
      </c>
      <c r="D76" s="135">
        <f>+'[1]Resum dades per a Ajuntaments'!$M74</f>
        <v>0</v>
      </c>
      <c r="E76" s="194">
        <f t="shared" si="8"/>
        <v>44.063820294676979</v>
      </c>
      <c r="F76" s="165">
        <f t="shared" si="9"/>
        <v>0.31383634186376413</v>
      </c>
      <c r="G76" s="113">
        <f t="shared" si="10"/>
        <v>44.395385382679528</v>
      </c>
      <c r="H76" s="113">
        <f t="shared" si="11"/>
        <v>3.5461733543928155E-4</v>
      </c>
      <c r="I76" s="113">
        <f t="shared" si="12"/>
        <v>3.3750522555961069E-4</v>
      </c>
      <c r="K76">
        <f t="shared" si="13"/>
        <v>0.31383634186376413</v>
      </c>
      <c r="L76" s="15">
        <f t="shared" si="14"/>
        <v>121.5</v>
      </c>
      <c r="Q76" s="15" t="str">
        <f t="shared" si="15"/>
        <v>198</v>
      </c>
      <c r="R76" s="170" t="s">
        <v>178</v>
      </c>
      <c r="S76" s="203" t="s">
        <v>463</v>
      </c>
      <c r="T76" s="203">
        <v>445</v>
      </c>
      <c r="U76" s="204">
        <v>507.51799999999997</v>
      </c>
      <c r="W76" s="250" t="s">
        <v>245</v>
      </c>
      <c r="X76" s="251" t="s">
        <v>553</v>
      </c>
    </row>
    <row r="77" spans="1:24">
      <c r="A77" s="170" t="s">
        <v>349</v>
      </c>
      <c r="B77" s="194">
        <f>+'[1]Resum dades per a Ajuntaments'!$N75</f>
        <v>309.94</v>
      </c>
      <c r="C77" s="135">
        <f>+'[1]Resum dades per a Ajuntaments'!$L75</f>
        <v>0</v>
      </c>
      <c r="D77" s="135">
        <f>+'[1]Resum dades per a Ajuntaments'!$M75</f>
        <v>17.600000000000001</v>
      </c>
      <c r="E77" s="194">
        <f t="shared" si="8"/>
        <v>327.54000000000002</v>
      </c>
      <c r="F77" s="165">
        <f t="shared" si="9"/>
        <v>2.2074898442023096</v>
      </c>
      <c r="G77" s="113">
        <f t="shared" si="10"/>
        <v>312.27219186825533</v>
      </c>
      <c r="H77" s="113">
        <f t="shared" si="11"/>
        <v>2.4943388070082597E-3</v>
      </c>
      <c r="I77" s="113">
        <f t="shared" si="12"/>
        <v>2.3739741336631778E-3</v>
      </c>
      <c r="K77">
        <f t="shared" si="13"/>
        <v>2.2074898442023096</v>
      </c>
      <c r="L77" s="15">
        <f t="shared" si="14"/>
        <v>790.37</v>
      </c>
      <c r="Q77" s="15" t="str">
        <f t="shared" si="15"/>
        <v>200</v>
      </c>
      <c r="R77" s="170" t="s">
        <v>349</v>
      </c>
      <c r="S77" s="203" t="s">
        <v>464</v>
      </c>
      <c r="T77" s="203">
        <v>3784</v>
      </c>
      <c r="U77" s="204">
        <v>3947.72</v>
      </c>
      <c r="W77" s="250" t="s">
        <v>279</v>
      </c>
      <c r="X77" s="251" t="s">
        <v>464</v>
      </c>
    </row>
    <row r="78" spans="1:24" ht="29">
      <c r="A78" s="170" t="s">
        <v>179</v>
      </c>
      <c r="B78" s="194">
        <f>+'[1]Resum dades per a Ajuntaments'!$N76</f>
        <v>639.09844738091249</v>
      </c>
      <c r="C78" s="135">
        <f>+'[1]Resum dades per a Ajuntaments'!$L76</f>
        <v>0</v>
      </c>
      <c r="D78" s="135">
        <f>+'[1]Resum dades per a Ajuntaments'!$M76</f>
        <v>0</v>
      </c>
      <c r="E78" s="194">
        <f t="shared" si="8"/>
        <v>639.09844738091249</v>
      </c>
      <c r="F78" s="165">
        <f t="shared" si="9"/>
        <v>4.5518594955114811</v>
      </c>
      <c r="G78" s="113">
        <f t="shared" si="10"/>
        <v>643.90744332205065</v>
      </c>
      <c r="H78" s="113">
        <f t="shared" si="11"/>
        <v>5.1433440627248377E-3</v>
      </c>
      <c r="I78" s="113">
        <f t="shared" si="12"/>
        <v>4.8951512645885771E-3</v>
      </c>
      <c r="K78">
        <f t="shared" si="13"/>
        <v>4.5518594955114811</v>
      </c>
      <c r="L78" s="15">
        <f t="shared" si="14"/>
        <v>1609.3050000000001</v>
      </c>
      <c r="Q78" s="15" t="str">
        <f t="shared" si="15"/>
        <v>106</v>
      </c>
      <c r="R78" s="170" t="s">
        <v>179</v>
      </c>
      <c r="S78" s="203" t="s">
        <v>465</v>
      </c>
      <c r="T78" s="203">
        <v>119</v>
      </c>
      <c r="U78" s="204">
        <v>121.5</v>
      </c>
      <c r="W78" s="250" t="s">
        <v>280</v>
      </c>
      <c r="X78" s="251" t="s">
        <v>465</v>
      </c>
    </row>
    <row r="79" spans="1:24">
      <c r="A79" s="170" t="s">
        <v>180</v>
      </c>
      <c r="B79" s="194">
        <f>+'[1]Resum dades per a Ajuntaments'!$N77</f>
        <v>317.73196000000002</v>
      </c>
      <c r="C79" s="135">
        <f>+'[1]Resum dades per a Ajuntaments'!$L77</f>
        <v>0</v>
      </c>
      <c r="D79" s="135">
        <f>+'[1]Resum dades per a Ajuntaments'!$M77</f>
        <v>0</v>
      </c>
      <c r="E79" s="194">
        <f t="shared" si="8"/>
        <v>317.73196000000002</v>
      </c>
      <c r="F79" s="165">
        <f t="shared" si="9"/>
        <v>2.262986626051799</v>
      </c>
      <c r="G79" s="113">
        <f t="shared" si="10"/>
        <v>320.12278368650976</v>
      </c>
      <c r="H79" s="113">
        <f t="shared" si="11"/>
        <v>2.5570470350867783E-3</v>
      </c>
      <c r="I79" s="113">
        <f t="shared" si="12"/>
        <v>2.4336563672907774E-3</v>
      </c>
      <c r="K79">
        <f t="shared" si="13"/>
        <v>2.262986626051799</v>
      </c>
      <c r="L79" s="15">
        <f t="shared" si="14"/>
        <v>668.7</v>
      </c>
      <c r="Q79" s="15" t="str">
        <f t="shared" si="15"/>
        <v>208</v>
      </c>
      <c r="R79" s="170" t="s">
        <v>180</v>
      </c>
      <c r="S79" s="203" t="s">
        <v>466</v>
      </c>
      <c r="T79" s="203">
        <v>707</v>
      </c>
      <c r="U79" s="204">
        <v>790.37</v>
      </c>
      <c r="W79" s="250" t="s">
        <v>281</v>
      </c>
      <c r="X79" s="251" t="s">
        <v>466</v>
      </c>
    </row>
    <row r="80" spans="1:24">
      <c r="A80" s="170" t="s">
        <v>181</v>
      </c>
      <c r="B80" s="194">
        <f>+'[1]Resum dades per a Ajuntaments'!$N78</f>
        <v>437.82000000000005</v>
      </c>
      <c r="C80" s="135">
        <f>+'[1]Resum dades per a Ajuntaments'!$L78</f>
        <v>0</v>
      </c>
      <c r="D80" s="135">
        <f>+'[1]Resum dades per a Ajuntaments'!$M78</f>
        <v>5.8999999999999995</v>
      </c>
      <c r="E80" s="194">
        <f t="shared" si="8"/>
        <v>443.72</v>
      </c>
      <c r="F80" s="165">
        <f t="shared" si="9"/>
        <v>3.1182912937621969</v>
      </c>
      <c r="G80" s="113">
        <f t="shared" si="10"/>
        <v>441.11444487242551</v>
      </c>
      <c r="H80" s="113">
        <f t="shared" si="11"/>
        <v>3.5234929873019178E-3</v>
      </c>
      <c r="I80" s="113">
        <f t="shared" si="12"/>
        <v>3.3534663328399451E-3</v>
      </c>
      <c r="K80">
        <f t="shared" si="13"/>
        <v>3.1182912937621969</v>
      </c>
      <c r="L80" s="15">
        <f t="shared" si="14"/>
        <v>851.65</v>
      </c>
      <c r="Q80" s="15" t="str">
        <f t="shared" si="15"/>
        <v>210</v>
      </c>
      <c r="R80" s="170" t="s">
        <v>181</v>
      </c>
      <c r="S80" s="203" t="s">
        <v>499</v>
      </c>
      <c r="T80" s="203">
        <v>1407</v>
      </c>
      <c r="U80" s="204">
        <v>1591.25</v>
      </c>
      <c r="W80" s="250" t="s">
        <v>259</v>
      </c>
      <c r="X80" s="251" t="s">
        <v>554</v>
      </c>
    </row>
    <row r="81" spans="1:24" ht="29">
      <c r="A81" s="170" t="s">
        <v>182</v>
      </c>
      <c r="B81" s="194">
        <f>+'[1]Resum dades per a Ajuntaments'!$N79</f>
        <v>125.9372412293026</v>
      </c>
      <c r="C81" s="135">
        <f>+'[1]Resum dades per a Ajuntaments'!$L79</f>
        <v>15.923</v>
      </c>
      <c r="D81" s="135">
        <f>+'[1]Resum dades per a Ajuntaments'!$M79</f>
        <v>0</v>
      </c>
      <c r="E81" s="194">
        <f t="shared" si="8"/>
        <v>141.8602412293026</v>
      </c>
      <c r="F81" s="165">
        <f t="shared" si="9"/>
        <v>0.8969645125525646</v>
      </c>
      <c r="G81" s="113">
        <f t="shared" si="10"/>
        <v>126.88487564210988</v>
      </c>
      <c r="H81" s="113">
        <f t="shared" si="11"/>
        <v>1.0135192232232368E-3</v>
      </c>
      <c r="I81" s="113">
        <f t="shared" si="12"/>
        <v>9.6461170918004865E-4</v>
      </c>
      <c r="K81">
        <f t="shared" si="13"/>
        <v>0.8969645125525646</v>
      </c>
      <c r="L81" s="15">
        <f t="shared" si="14"/>
        <v>340.6</v>
      </c>
      <c r="Q81" s="15" t="str">
        <f t="shared" si="15"/>
        <v>212</v>
      </c>
      <c r="R81" s="170" t="s">
        <v>182</v>
      </c>
      <c r="S81" s="203" t="s">
        <v>467</v>
      </c>
      <c r="T81" s="203">
        <v>637</v>
      </c>
      <c r="U81" s="204">
        <v>668.7</v>
      </c>
      <c r="W81" s="250" t="s">
        <v>283</v>
      </c>
      <c r="X81" s="251" t="s">
        <v>467</v>
      </c>
    </row>
    <row r="82" spans="1:24" ht="29">
      <c r="A82" s="170" t="s">
        <v>183</v>
      </c>
      <c r="B82" s="194">
        <f>+'[1]Resum dades per a Ajuntaments'!$N80</f>
        <v>416.78060081375992</v>
      </c>
      <c r="C82" s="135">
        <f>+'[1]Resum dades per a Ajuntaments'!$L80</f>
        <v>0</v>
      </c>
      <c r="D82" s="135">
        <f>+'[1]Resum dades per a Ajuntaments'!$M80</f>
        <v>0</v>
      </c>
      <c r="E82" s="194">
        <f t="shared" si="8"/>
        <v>416.78060081375992</v>
      </c>
      <c r="F82" s="165">
        <f t="shared" si="9"/>
        <v>2.9684420970410783</v>
      </c>
      <c r="G82" s="113">
        <f t="shared" si="10"/>
        <v>419.91673144570296</v>
      </c>
      <c r="H82" s="113">
        <f t="shared" si="11"/>
        <v>3.354171861063366E-3</v>
      </c>
      <c r="I82" s="113">
        <f t="shared" si="12"/>
        <v>3.1923158215927741E-3</v>
      </c>
      <c r="K82">
        <f t="shared" si="13"/>
        <v>2.9684420970410783</v>
      </c>
      <c r="L82" s="15">
        <f t="shared" si="14"/>
        <v>775.49800000000005</v>
      </c>
      <c r="Q82" s="15" t="str">
        <f t="shared" si="15"/>
        <v>219</v>
      </c>
      <c r="R82" s="170" t="s">
        <v>183</v>
      </c>
      <c r="S82" s="203" t="s">
        <v>468</v>
      </c>
      <c r="T82" s="203">
        <v>817</v>
      </c>
      <c r="U82" s="204">
        <v>851.65</v>
      </c>
      <c r="W82" s="250" t="s">
        <v>284</v>
      </c>
      <c r="X82" s="251" t="s">
        <v>468</v>
      </c>
    </row>
    <row r="83" spans="1:24">
      <c r="A83" s="170" t="s">
        <v>350</v>
      </c>
      <c r="B83" s="194">
        <f>+'[1]Resum dades per a Ajuntaments'!$N81</f>
        <v>456.56000000000006</v>
      </c>
      <c r="C83" s="135">
        <f>+'[1]Resum dades per a Ajuntaments'!$L81</f>
        <v>0</v>
      </c>
      <c r="D83" s="135">
        <f>+'[1]Resum dades per a Ajuntaments'!$M81</f>
        <v>0</v>
      </c>
      <c r="E83" s="194">
        <f t="shared" si="8"/>
        <v>456.56000000000006</v>
      </c>
      <c r="F83" s="165">
        <f t="shared" si="9"/>
        <v>3.2517634486320142</v>
      </c>
      <c r="G83" s="113">
        <f t="shared" si="10"/>
        <v>459.99545692511668</v>
      </c>
      <c r="H83" s="113">
        <f t="shared" si="11"/>
        <v>3.6743089815051014E-3</v>
      </c>
      <c r="I83" s="113">
        <f t="shared" si="12"/>
        <v>3.4970046798259678E-3</v>
      </c>
      <c r="K83">
        <f t="shared" si="13"/>
        <v>3.2517634486320142</v>
      </c>
      <c r="L83" s="15">
        <f t="shared" si="14"/>
        <v>870.8</v>
      </c>
      <c r="Q83" s="15" t="str">
        <f t="shared" si="15"/>
        <v>220</v>
      </c>
      <c r="R83" s="170" t="s">
        <v>350</v>
      </c>
      <c r="S83" s="203" t="s">
        <v>505</v>
      </c>
      <c r="T83" s="203">
        <v>325</v>
      </c>
      <c r="U83" s="204">
        <v>340.6</v>
      </c>
      <c r="W83" s="250" t="s">
        <v>285</v>
      </c>
      <c r="X83" s="251" t="s">
        <v>555</v>
      </c>
    </row>
    <row r="84" spans="1:24">
      <c r="A84" s="170" t="s">
        <v>184</v>
      </c>
      <c r="B84" s="194">
        <f>+'[1]Resum dades per a Ajuntaments'!$N82</f>
        <v>49.749474526248207</v>
      </c>
      <c r="C84" s="135">
        <f>+'[1]Resum dades per a Ajuntaments'!$L82</f>
        <v>0</v>
      </c>
      <c r="D84" s="135">
        <f>+'[1]Resum dades per a Ajuntaments'!$M82</f>
        <v>0</v>
      </c>
      <c r="E84" s="194">
        <f t="shared" si="8"/>
        <v>49.749474526248207</v>
      </c>
      <c r="F84" s="165">
        <f t="shared" si="9"/>
        <v>0.35433135371715307</v>
      </c>
      <c r="G84" s="113">
        <f t="shared" si="10"/>
        <v>50.123822206251084</v>
      </c>
      <c r="H84" s="113">
        <f t="shared" si="11"/>
        <v>4.0037441097983404E-4</v>
      </c>
      <c r="I84" s="113">
        <f t="shared" si="12"/>
        <v>3.8105428692214113E-4</v>
      </c>
      <c r="K84">
        <f t="shared" si="13"/>
        <v>0.35433135371715307</v>
      </c>
      <c r="L84" s="15">
        <f t="shared" si="14"/>
        <v>218.95</v>
      </c>
      <c r="Q84" s="15" t="str">
        <f t="shared" si="15"/>
        <v>221</v>
      </c>
      <c r="R84" s="170" t="s">
        <v>184</v>
      </c>
      <c r="S84" s="203" t="s">
        <v>494</v>
      </c>
      <c r="T84" s="203">
        <v>1451</v>
      </c>
      <c r="U84" s="204">
        <v>1822.05</v>
      </c>
      <c r="W84" s="250" t="s">
        <v>286</v>
      </c>
      <c r="X84" s="251" t="s">
        <v>556</v>
      </c>
    </row>
    <row r="85" spans="1:24">
      <c r="A85" s="170" t="s">
        <v>185</v>
      </c>
      <c r="B85" s="194">
        <f>+'[1]Resum dades per a Ajuntaments'!$N83</f>
        <v>116.84019445878864</v>
      </c>
      <c r="C85" s="135">
        <f>+'[1]Resum dades per a Ajuntaments'!$L83</f>
        <v>12.734</v>
      </c>
      <c r="D85" s="135">
        <f>+'[1]Resum dades per a Ajuntaments'!$M83</f>
        <v>0</v>
      </c>
      <c r="E85" s="194">
        <f t="shared" si="8"/>
        <v>129.57419445878864</v>
      </c>
      <c r="F85" s="165">
        <f t="shared" si="9"/>
        <v>0.83217249358714229</v>
      </c>
      <c r="G85" s="113">
        <f t="shared" si="10"/>
        <v>117.7193767243954</v>
      </c>
      <c r="H85" s="113">
        <f t="shared" si="11"/>
        <v>9.40307902358353E-4</v>
      </c>
      <c r="I85" s="113">
        <f t="shared" si="12"/>
        <v>8.9493321099999991E-4</v>
      </c>
      <c r="K85">
        <f t="shared" si="13"/>
        <v>0.83217249358714229</v>
      </c>
      <c r="L85" s="15">
        <f t="shared" si="14"/>
        <v>317.39600000000002</v>
      </c>
      <c r="Q85" s="15" t="str">
        <f t="shared" si="15"/>
        <v>223</v>
      </c>
      <c r="R85" s="170" t="s">
        <v>185</v>
      </c>
      <c r="S85" s="203" t="s">
        <v>469</v>
      </c>
      <c r="T85" s="203">
        <v>707</v>
      </c>
      <c r="U85" s="204">
        <v>775.49800000000005</v>
      </c>
      <c r="W85" s="250" t="s">
        <v>287</v>
      </c>
      <c r="X85" s="251" t="s">
        <v>557</v>
      </c>
    </row>
    <row r="86" spans="1:24">
      <c r="A86" s="170" t="s">
        <v>186</v>
      </c>
      <c r="B86" s="194">
        <f>+'[1]Resum dades per a Ajuntaments'!$N84</f>
        <v>7.7538775697170914</v>
      </c>
      <c r="C86" s="135">
        <f>+'[1]Resum dades per a Ajuntaments'!$L84</f>
        <v>0</v>
      </c>
      <c r="D86" s="135">
        <f>+'[1]Resum dades per a Ajuntaments'!$M84</f>
        <v>0</v>
      </c>
      <c r="E86" s="194">
        <f t="shared" si="8"/>
        <v>7.7538775697170914</v>
      </c>
      <c r="F86" s="165">
        <f t="shared" si="9"/>
        <v>5.5225546842416484E-2</v>
      </c>
      <c r="G86" s="113">
        <f t="shared" si="10"/>
        <v>7.8122228307854966</v>
      </c>
      <c r="H86" s="113">
        <f t="shared" si="11"/>
        <v>6.2401747844538399E-5</v>
      </c>
      <c r="I86" s="113">
        <f t="shared" si="12"/>
        <v>5.9390542640832027E-5</v>
      </c>
      <c r="K86">
        <f t="shared" si="13"/>
        <v>5.5225546842416484E-2</v>
      </c>
      <c r="L86" s="15">
        <f t="shared" si="14"/>
        <v>37.799999999999997</v>
      </c>
      <c r="Q86" s="15" t="str">
        <f t="shared" si="15"/>
        <v>228</v>
      </c>
      <c r="R86" s="170" t="s">
        <v>186</v>
      </c>
      <c r="S86" s="203" t="s">
        <v>506</v>
      </c>
      <c r="T86" s="203">
        <v>806</v>
      </c>
      <c r="U86" s="204">
        <v>870.8</v>
      </c>
      <c r="W86" s="250" t="s">
        <v>288</v>
      </c>
      <c r="X86" s="251" t="s">
        <v>558</v>
      </c>
    </row>
    <row r="87" spans="1:24" ht="29">
      <c r="A87" s="188" t="s">
        <v>187</v>
      </c>
      <c r="B87" s="195">
        <f>+'[1]Resum dades per a Ajuntaments'!$N85</f>
        <v>266.76999999999992</v>
      </c>
      <c r="C87" s="189">
        <f>+'[1]Resum dades per a Ajuntaments'!$L85</f>
        <v>0</v>
      </c>
      <c r="D87" s="189">
        <f>+'[1]Resum dades per a Ajuntaments'!$M85</f>
        <v>0</v>
      </c>
      <c r="E87" s="195">
        <f t="shared" si="8"/>
        <v>266.76999999999992</v>
      </c>
      <c r="F87" s="190">
        <f t="shared" si="9"/>
        <v>5</v>
      </c>
      <c r="G87" s="191">
        <f t="shared" si="10"/>
        <v>268.77735247046024</v>
      </c>
      <c r="H87" s="191">
        <f t="shared" si="11"/>
        <v>2.1469147691346494E-3</v>
      </c>
      <c r="I87" s="191">
        <f t="shared" si="12"/>
        <v>5.3770895931823147E-3</v>
      </c>
      <c r="K87" s="196">
        <v>5</v>
      </c>
      <c r="L87" s="15">
        <f t="shared" si="14"/>
        <v>732.7</v>
      </c>
      <c r="Q87" s="15" t="str">
        <f t="shared" si="15"/>
        <v>241</v>
      </c>
      <c r="R87" s="188" t="s">
        <v>187</v>
      </c>
      <c r="S87" s="203" t="s">
        <v>470</v>
      </c>
      <c r="T87" s="203">
        <v>149</v>
      </c>
      <c r="U87" s="204">
        <v>218.95</v>
      </c>
      <c r="W87" s="250" t="s">
        <v>289</v>
      </c>
      <c r="X87" s="251" t="s">
        <v>470</v>
      </c>
    </row>
    <row r="88" spans="1:24">
      <c r="A88" s="170" t="s">
        <v>188</v>
      </c>
      <c r="B88" s="194">
        <f>+'[1]Resum dades per a Ajuntaments'!$N86</f>
        <v>81.589138223047044</v>
      </c>
      <c r="C88" s="135">
        <f>+'[1]Resum dades per a Ajuntaments'!$L86</f>
        <v>0</v>
      </c>
      <c r="D88" s="135">
        <f>+'[1]Resum dades per a Ajuntaments'!$M86</f>
        <v>0</v>
      </c>
      <c r="E88" s="194">
        <f t="shared" si="8"/>
        <v>81.589138223047044</v>
      </c>
      <c r="F88" s="165">
        <f t="shared" si="9"/>
        <v>0.58110342009613092</v>
      </c>
      <c r="G88" s="113">
        <f t="shared" si="10"/>
        <v>82.20306841825176</v>
      </c>
      <c r="H88" s="113">
        <f t="shared" si="11"/>
        <v>6.5661403400692762E-4</v>
      </c>
      <c r="I88" s="113">
        <f t="shared" si="12"/>
        <v>6.2492903055231131E-4</v>
      </c>
      <c r="K88">
        <f t="shared" si="13"/>
        <v>0.58110342009613092</v>
      </c>
      <c r="L88" s="15">
        <f t="shared" si="14"/>
        <v>246.8</v>
      </c>
      <c r="Q88" s="15" t="str">
        <f t="shared" si="15"/>
        <v>242</v>
      </c>
      <c r="R88" s="170" t="s">
        <v>188</v>
      </c>
      <c r="S88" s="203" t="s">
        <v>471</v>
      </c>
      <c r="T88" s="203">
        <v>292</v>
      </c>
      <c r="U88" s="204">
        <v>317.39600000000002</v>
      </c>
      <c r="W88" s="250" t="s">
        <v>290</v>
      </c>
      <c r="X88" s="251" t="s">
        <v>471</v>
      </c>
    </row>
    <row r="89" spans="1:24">
      <c r="A89" s="170" t="s">
        <v>189</v>
      </c>
      <c r="B89" s="194">
        <f>+'[1]Resum dades per a Ajuntaments'!$N87</f>
        <v>39.064</v>
      </c>
      <c r="C89" s="135">
        <f>+'[1]Resum dades per a Ajuntaments'!$L87</f>
        <v>5.3849999999999998</v>
      </c>
      <c r="D89" s="135">
        <f>+'[1]Resum dades per a Ajuntaments'!$M87</f>
        <v>0</v>
      </c>
      <c r="E89" s="194">
        <f t="shared" si="8"/>
        <v>44.448999999999998</v>
      </c>
      <c r="F89" s="165">
        <f t="shared" si="9"/>
        <v>0.27822605431347686</v>
      </c>
      <c r="G89" s="113">
        <f t="shared" si="10"/>
        <v>39.357943160423069</v>
      </c>
      <c r="H89" s="113">
        <f t="shared" si="11"/>
        <v>3.143797223881095E-4</v>
      </c>
      <c r="I89" s="113">
        <f t="shared" si="12"/>
        <v>2.992092842402348E-4</v>
      </c>
      <c r="K89">
        <f t="shared" si="13"/>
        <v>0.27822605431347686</v>
      </c>
      <c r="L89" s="15">
        <f t="shared" si="14"/>
        <v>96.15</v>
      </c>
      <c r="Q89" s="15" t="str">
        <f t="shared" si="15"/>
        <v>245</v>
      </c>
      <c r="R89" s="170" t="s">
        <v>189</v>
      </c>
      <c r="S89" s="203" t="s">
        <v>472</v>
      </c>
      <c r="T89" s="203">
        <v>37</v>
      </c>
      <c r="U89" s="204">
        <v>37.799999999999997</v>
      </c>
      <c r="W89" s="250" t="s">
        <v>291</v>
      </c>
      <c r="X89" s="251" t="s">
        <v>472</v>
      </c>
    </row>
    <row r="90" spans="1:24">
      <c r="A90" s="170" t="s">
        <v>190</v>
      </c>
      <c r="B90" s="194">
        <f>+'[1]Resum dades per a Ajuntaments'!$N88</f>
        <v>1000.0954815239504</v>
      </c>
      <c r="C90" s="135">
        <f>+'[1]Resum dades per a Ajuntaments'!$L88</f>
        <v>2.7850000000000001</v>
      </c>
      <c r="D90" s="135">
        <f>+'[1]Resum dades per a Ajuntaments'!$M88</f>
        <v>0</v>
      </c>
      <c r="E90" s="194">
        <f t="shared" si="8"/>
        <v>1002.8804815239504</v>
      </c>
      <c r="F90" s="165">
        <f t="shared" si="9"/>
        <v>7.1229935429332745</v>
      </c>
      <c r="G90" s="113">
        <f t="shared" si="10"/>
        <v>1007.6208559496104</v>
      </c>
      <c r="H90" s="113">
        <f t="shared" si="11"/>
        <v>8.0485802745008748E-3</v>
      </c>
      <c r="I90" s="113">
        <f t="shared" si="12"/>
        <v>7.6601948904022679E-3</v>
      </c>
      <c r="K90">
        <f t="shared" si="13"/>
        <v>7.1229935429332745</v>
      </c>
      <c r="L90" s="15">
        <f t="shared" si="14"/>
        <v>2463.4499999999998</v>
      </c>
      <c r="Q90" s="15" t="str">
        <f t="shared" si="15"/>
        <v>253</v>
      </c>
      <c r="R90" s="170" t="s">
        <v>190</v>
      </c>
      <c r="S90" s="203" t="s">
        <v>473</v>
      </c>
      <c r="T90" s="203">
        <v>726</v>
      </c>
      <c r="U90" s="204">
        <v>732.7</v>
      </c>
      <c r="W90" s="250" t="s">
        <v>292</v>
      </c>
      <c r="X90" s="251" t="s">
        <v>473</v>
      </c>
    </row>
    <row r="91" spans="1:24">
      <c r="A91" s="170" t="s">
        <v>191</v>
      </c>
      <c r="B91" s="194">
        <f>+'[1]Resum dades per a Ajuntaments'!$N89</f>
        <v>42.559717810245978</v>
      </c>
      <c r="C91" s="135">
        <f>+'[1]Resum dades per a Ajuntaments'!$L89</f>
        <v>0</v>
      </c>
      <c r="D91" s="135">
        <f>+'[1]Resum dades per a Ajuntaments'!$M89</f>
        <v>0</v>
      </c>
      <c r="E91" s="194">
        <f t="shared" si="8"/>
        <v>42.559717810245978</v>
      </c>
      <c r="F91" s="165">
        <f t="shared" si="9"/>
        <v>0.30312365244316364</v>
      </c>
      <c r="G91" s="113">
        <f>B91*$G$108</f>
        <v>42.879965044524539</v>
      </c>
      <c r="H91" s="113">
        <f t="shared" si="11"/>
        <v>3.4251260163069346E-4</v>
      </c>
      <c r="I91" s="113">
        <f t="shared" si="12"/>
        <v>3.2598460739990964E-4</v>
      </c>
      <c r="K91">
        <f t="shared" si="13"/>
        <v>0.30312365244316364</v>
      </c>
      <c r="L91" s="15">
        <f t="shared" si="14"/>
        <v>103</v>
      </c>
      <c r="Q91" s="15" t="str">
        <f t="shared" si="15"/>
        <v>255</v>
      </c>
      <c r="R91" s="170" t="s">
        <v>191</v>
      </c>
      <c r="S91" s="203" t="s">
        <v>474</v>
      </c>
      <c r="T91" s="203">
        <v>233</v>
      </c>
      <c r="U91" s="204">
        <v>246.8</v>
      </c>
      <c r="W91" s="250" t="s">
        <v>293</v>
      </c>
      <c r="X91" s="251" t="s">
        <v>474</v>
      </c>
    </row>
    <row r="92" spans="1:24">
      <c r="A92" s="170" t="s">
        <v>351</v>
      </c>
      <c r="B92" s="194">
        <f>+'[1]Resum dades per a Ajuntaments'!$N90</f>
        <v>1434.1399999999999</v>
      </c>
      <c r="C92" s="135">
        <f>+'[1]Resum dades per a Ajuntaments'!$L90</f>
        <v>0</v>
      </c>
      <c r="D92" s="135">
        <f>+'[1]Resum dades per a Ajuntaments'!$M90</f>
        <v>16.440000000000001</v>
      </c>
      <c r="E92" s="194">
        <f t="shared" si="8"/>
        <v>1450.58</v>
      </c>
      <c r="F92" s="165">
        <f t="shared" si="9"/>
        <v>10.214394673692651</v>
      </c>
      <c r="G92" s="113">
        <f t="shared" si="10"/>
        <v>1444.9314100985341</v>
      </c>
      <c r="H92" s="113">
        <f t="shared" si="11"/>
        <v>1.1541688896827855E-2</v>
      </c>
      <c r="I92" s="113">
        <f t="shared" si="12"/>
        <v>1.0984743060113924E-2</v>
      </c>
      <c r="K92">
        <f t="shared" si="13"/>
        <v>10.214394673692651</v>
      </c>
      <c r="L92" s="15">
        <f t="shared" si="14"/>
        <v>3244.6219999999998</v>
      </c>
      <c r="Q92" s="15" t="str">
        <f t="shared" si="15"/>
        <v>257</v>
      </c>
      <c r="R92" s="170" t="s">
        <v>351</v>
      </c>
      <c r="S92" s="203" t="s">
        <v>475</v>
      </c>
      <c r="T92" s="203">
        <v>94</v>
      </c>
      <c r="U92" s="204">
        <v>96.15</v>
      </c>
      <c r="W92" s="250" t="s">
        <v>294</v>
      </c>
      <c r="X92" s="251" t="s">
        <v>475</v>
      </c>
    </row>
    <row r="93" spans="1:24">
      <c r="A93" s="170" t="s">
        <v>192</v>
      </c>
      <c r="B93" s="194">
        <f>+'[1]Resum dades per a Ajuntaments'!$N91</f>
        <v>10872.6</v>
      </c>
      <c r="C93" s="135">
        <f>+'[1]Resum dades per a Ajuntaments'!$L91</f>
        <v>0</v>
      </c>
      <c r="D93" s="135">
        <f>+'[1]Resum dades per a Ajuntaments'!$M91</f>
        <v>0</v>
      </c>
      <c r="E93" s="194">
        <f t="shared" si="8"/>
        <v>10872.6</v>
      </c>
      <c r="F93" s="165">
        <f>K93</f>
        <v>77.438065690372426</v>
      </c>
      <c r="G93" s="113">
        <f>B93*$G$108</f>
        <v>10954.41257439115</v>
      </c>
      <c r="H93" s="113">
        <f t="shared" si="11"/>
        <v>8.7500639198160951E-2</v>
      </c>
      <c r="I93" s="113">
        <f t="shared" si="12"/>
        <v>8.3278283427974012E-2</v>
      </c>
      <c r="K93">
        <f>B93/$B$97*$F$99</f>
        <v>77.438065690372426</v>
      </c>
      <c r="L93" s="15">
        <f t="shared" si="14"/>
        <v>20138.79</v>
      </c>
      <c r="Q93" s="15" t="str">
        <f t="shared" si="15"/>
        <v>147</v>
      </c>
      <c r="R93" s="170" t="s">
        <v>192</v>
      </c>
      <c r="S93" s="203" t="s">
        <v>476</v>
      </c>
      <c r="T93" s="203">
        <v>2154</v>
      </c>
      <c r="U93" s="204">
        <v>2463.4499999999998</v>
      </c>
      <c r="W93" s="250" t="s">
        <v>295</v>
      </c>
      <c r="X93" s="251" t="s">
        <v>476</v>
      </c>
    </row>
    <row r="94" spans="1:24">
      <c r="A94" s="170" t="s">
        <v>193</v>
      </c>
      <c r="B94" s="194">
        <f>+'[1]Resum dades per a Ajuntaments'!$N92</f>
        <v>2736.3599999999997</v>
      </c>
      <c r="C94" s="135">
        <f>+'[1]Resum dades per a Ajuntaments'!$L92</f>
        <v>0</v>
      </c>
      <c r="D94" s="135">
        <f>+'[1]Resum dades per a Ajuntaments'!$M92</f>
        <v>4.9000000000000012</v>
      </c>
      <c r="E94" s="194">
        <f t="shared" si="8"/>
        <v>2741.2599999999998</v>
      </c>
      <c r="F94" s="165">
        <f t="shared" si="9"/>
        <v>19.489213751311322</v>
      </c>
      <c r="G94" s="113">
        <f t="shared" si="10"/>
        <v>2756.9501675828192</v>
      </c>
      <c r="H94" s="113">
        <f t="shared" si="11"/>
        <v>2.2021710453459121E-2</v>
      </c>
      <c r="I94" s="113">
        <f t="shared" si="12"/>
        <v>2.0959049688296354E-2</v>
      </c>
      <c r="K94">
        <f t="shared" si="13"/>
        <v>19.489213751311322</v>
      </c>
      <c r="L94" s="15">
        <f t="shared" si="14"/>
        <v>7481.4949999999999</v>
      </c>
      <c r="Q94" s="15" t="str">
        <f t="shared" si="15"/>
        <v>145</v>
      </c>
      <c r="R94" s="170" t="s">
        <v>193</v>
      </c>
      <c r="S94" s="203" t="s">
        <v>507</v>
      </c>
      <c r="T94" s="203">
        <v>99</v>
      </c>
      <c r="U94" s="204">
        <v>103</v>
      </c>
      <c r="W94" s="250" t="s">
        <v>296</v>
      </c>
      <c r="X94" s="251" t="s">
        <v>559</v>
      </c>
    </row>
    <row r="95" spans="1:24">
      <c r="A95" s="170" t="s">
        <v>194</v>
      </c>
      <c r="B95" s="194">
        <f>+'[1]Resum dades per a Ajuntaments'!$N93</f>
        <v>647.32000000000016</v>
      </c>
      <c r="C95" s="135">
        <f>+'[1]Resum dades per a Ajuntaments'!$L93</f>
        <v>0</v>
      </c>
      <c r="D95" s="135">
        <f>+'[1]Resum dades per a Ajuntaments'!$M93</f>
        <v>0</v>
      </c>
      <c r="E95" s="194">
        <f t="shared" si="8"/>
        <v>647.32000000000016</v>
      </c>
      <c r="F95" s="165">
        <f t="shared" si="9"/>
        <v>4.6104159706686429</v>
      </c>
      <c r="G95" s="113">
        <f t="shared" si="10"/>
        <v>652.19086029605432</v>
      </c>
      <c r="H95" s="113">
        <f t="shared" si="11"/>
        <v>5.2095095713769989E-3</v>
      </c>
      <c r="I95" s="113">
        <f t="shared" si="12"/>
        <v>4.9581239472247804E-3</v>
      </c>
      <c r="K95">
        <f t="shared" si="13"/>
        <v>4.6104159706686429</v>
      </c>
      <c r="L95" s="15">
        <f t="shared" si="14"/>
        <v>1574.0609999999999</v>
      </c>
      <c r="Q95" s="15" t="str">
        <f t="shared" si="15"/>
        <v>148</v>
      </c>
      <c r="R95" s="170" t="s">
        <v>194</v>
      </c>
      <c r="S95" s="203" t="s">
        <v>508</v>
      </c>
      <c r="T95" s="203">
        <v>3008</v>
      </c>
      <c r="U95" s="204">
        <v>3244.6219999999998</v>
      </c>
      <c r="W95" s="250" t="s">
        <v>297</v>
      </c>
      <c r="X95" s="251" t="s">
        <v>560</v>
      </c>
    </row>
    <row r="96" spans="1:24" ht="15" thickBot="1">
      <c r="A96" s="188" t="s">
        <v>195</v>
      </c>
      <c r="B96" s="195">
        <f>+'[1]Resum dades per a Ajuntaments'!$N94</f>
        <v>191.98</v>
      </c>
      <c r="C96" s="189">
        <f>+'[1]Resum dades per a Ajuntaments'!$L94</f>
        <v>0</v>
      </c>
      <c r="D96" s="189">
        <f>+'[1]Resum dades per a Ajuntaments'!$M94</f>
        <v>0</v>
      </c>
      <c r="E96" s="195">
        <f t="shared" si="8"/>
        <v>191.98</v>
      </c>
      <c r="F96" s="190">
        <f t="shared" si="9"/>
        <v>5</v>
      </c>
      <c r="G96" s="191">
        <f t="shared" si="10"/>
        <v>193.4245834512088</v>
      </c>
      <c r="H96" s="191">
        <f t="shared" si="11"/>
        <v>1.5450189203376321E-3</v>
      </c>
      <c r="I96" s="191">
        <f t="shared" si="12"/>
        <v>5.3770895931823147E-3</v>
      </c>
      <c r="K96" s="196">
        <v>5</v>
      </c>
      <c r="L96" s="15">
        <f t="shared" si="14"/>
        <v>433.88499999999999</v>
      </c>
      <c r="Q96" s="15" t="str">
        <f t="shared" si="15"/>
        <v>265</v>
      </c>
      <c r="R96" s="188" t="s">
        <v>195</v>
      </c>
      <c r="S96" s="203" t="s">
        <v>477</v>
      </c>
      <c r="T96" s="203">
        <v>422</v>
      </c>
      <c r="U96" s="204">
        <v>433.88499999999999</v>
      </c>
      <c r="W96" s="252" t="s">
        <v>301</v>
      </c>
      <c r="X96" s="253" t="s">
        <v>477</v>
      </c>
    </row>
    <row r="97" spans="1:21" ht="22.5" customHeight="1" thickBot="1">
      <c r="B97" s="174">
        <f>SUM(B4:B96)</f>
        <v>124257.377999</v>
      </c>
      <c r="C97" s="175">
        <f t="shared" ref="C97:F97" si="16">SUM(C4:C96)</f>
        <v>193.44</v>
      </c>
      <c r="D97" s="175">
        <f t="shared" si="16"/>
        <v>422.69</v>
      </c>
      <c r="E97" s="176">
        <f t="shared" si="16"/>
        <v>124873.50799900001</v>
      </c>
      <c r="F97" s="166">
        <f t="shared" si="16"/>
        <v>929.87106005069506</v>
      </c>
      <c r="G97" s="176">
        <f>SUM(G4:G96)</f>
        <v>125192.37201893932</v>
      </c>
      <c r="H97" s="113">
        <f>SUM(H4:H96)</f>
        <v>1</v>
      </c>
      <c r="I97" s="113">
        <f>SUM(I4:I96)</f>
        <v>0.99999999999999944</v>
      </c>
      <c r="K97">
        <f>SUM(K4:K96)</f>
        <v>929.87106005069506</v>
      </c>
      <c r="L97" s="15" t="e">
        <f>+INDEX($R$4:$U$96,MATCH(R97,$S$4:$S$96,0),4)</f>
        <v>#N/A</v>
      </c>
      <c r="R97" s="203"/>
      <c r="S97" s="203"/>
      <c r="T97" s="205" t="s">
        <v>478</v>
      </c>
      <c r="U97" s="206">
        <f>SUM(U4:U96)</f>
        <v>274119.94200000004</v>
      </c>
    </row>
    <row r="98" spans="1:21">
      <c r="A98" s="172"/>
      <c r="F98" s="197">
        <f>+F97-O3-O5</f>
        <v>787.4329943603226</v>
      </c>
      <c r="G98" s="197">
        <f>+G97-P3-P5</f>
        <v>111390.51341236703</v>
      </c>
    </row>
    <row r="99" spans="1:21">
      <c r="A99" s="172"/>
      <c r="F99">
        <f>950-65</f>
        <v>885</v>
      </c>
      <c r="G99" s="2">
        <f>+E104</f>
        <v>125192.37201893932</v>
      </c>
    </row>
    <row r="100" spans="1:21">
      <c r="A100" s="172"/>
      <c r="E100">
        <f>+E97*1.01</f>
        <v>126122.24307899001</v>
      </c>
    </row>
    <row r="101" spans="1:21">
      <c r="A101" s="172"/>
    </row>
    <row r="102" spans="1:21">
      <c r="A102" s="172"/>
      <c r="E102" s="167">
        <f>+E100</f>
        <v>126122.24307899001</v>
      </c>
      <c r="F102" s="168" t="s">
        <v>335</v>
      </c>
      <c r="G102" s="168"/>
    </row>
    <row r="103" spans="1:21">
      <c r="A103" s="172"/>
      <c r="E103">
        <f>-1*F97</f>
        <v>-929.87106005069506</v>
      </c>
    </row>
    <row r="104" spans="1:21">
      <c r="A104" s="173"/>
      <c r="E104" s="15">
        <f>E102+E103</f>
        <v>125192.37201893932</v>
      </c>
    </row>
    <row r="106" spans="1:21">
      <c r="F106">
        <f>E104</f>
        <v>125192.37201893932</v>
      </c>
    </row>
    <row r="108" spans="1:21">
      <c r="G108">
        <f>F106/B97</f>
        <v>1.0075246559600417</v>
      </c>
      <c r="H108" t="str">
        <f>IF(G97=F106,"TODO OK","ERROR")</f>
        <v>TODO OK</v>
      </c>
    </row>
    <row r="111" spans="1:21">
      <c r="D111" s="2"/>
      <c r="F111" s="2"/>
      <c r="G111" s="2"/>
      <c r="H111" s="2"/>
      <c r="K111" s="171"/>
      <c r="N111" s="2"/>
    </row>
    <row r="112" spans="1:21">
      <c r="A112"/>
      <c r="C112" s="5"/>
      <c r="D112" s="2"/>
      <c r="M112" s="5"/>
      <c r="N112" s="2"/>
    </row>
    <row r="113" spans="1:14">
      <c r="A113"/>
      <c r="C113" s="4"/>
      <c r="D113" s="2"/>
      <c r="E113" s="2"/>
      <c r="M113" s="4"/>
      <c r="N113" s="2"/>
    </row>
    <row r="114" spans="1:14">
      <c r="A114"/>
      <c r="C114" s="4"/>
      <c r="D114" s="2"/>
      <c r="G114" s="2"/>
      <c r="M114" s="4"/>
      <c r="N114" s="2"/>
    </row>
    <row r="115" spans="1:14">
      <c r="A115"/>
      <c r="C115" s="4"/>
      <c r="D115" s="2"/>
      <c r="M115" s="4"/>
      <c r="N115" s="2"/>
    </row>
    <row r="116" spans="1:14">
      <c r="G116" s="4"/>
      <c r="K116" s="171"/>
    </row>
    <row r="117" spans="1:14">
      <c r="D117" s="2"/>
      <c r="K117" s="171"/>
      <c r="N117" s="2"/>
    </row>
    <row r="118" spans="1:14">
      <c r="A118"/>
      <c r="C118" s="5"/>
      <c r="D118" s="2"/>
      <c r="G118" s="2"/>
      <c r="M118" s="5"/>
      <c r="N118" s="2"/>
    </row>
    <row r="119" spans="1:14">
      <c r="A119"/>
      <c r="C119" s="4"/>
      <c r="D119" s="2"/>
      <c r="M119" s="4"/>
      <c r="N119" s="2"/>
    </row>
    <row r="120" spans="1:14">
      <c r="A120"/>
      <c r="C120" s="4"/>
      <c r="D120" s="2"/>
      <c r="M120" s="4"/>
      <c r="N120" s="2"/>
    </row>
    <row r="121" spans="1:14">
      <c r="A121"/>
      <c r="C121" s="4"/>
      <c r="D121" s="2"/>
      <c r="M121" s="4"/>
      <c r="N121" s="2"/>
    </row>
    <row r="122" spans="1:14">
      <c r="K122" s="171"/>
    </row>
    <row r="123" spans="1:14">
      <c r="K123" s="171"/>
    </row>
    <row r="124" spans="1:14">
      <c r="G124" s="2"/>
      <c r="H124" s="2"/>
      <c r="K124" s="171"/>
    </row>
    <row r="125" spans="1:14">
      <c r="D125" s="2"/>
      <c r="F125" s="2"/>
      <c r="K125" s="171"/>
      <c r="N125" s="2"/>
    </row>
    <row r="126" spans="1:14">
      <c r="A126"/>
      <c r="C126" s="5"/>
      <c r="D126" s="2"/>
      <c r="M126" s="5"/>
      <c r="N126" s="2"/>
    </row>
    <row r="127" spans="1:14">
      <c r="A127"/>
      <c r="C127" s="4"/>
      <c r="D127" s="2"/>
      <c r="M127" s="4"/>
      <c r="N127" s="2"/>
    </row>
    <row r="128" spans="1:14">
      <c r="A128"/>
      <c r="C128" s="4"/>
      <c r="D128" s="2"/>
      <c r="M128" s="4"/>
      <c r="N128" s="2"/>
    </row>
    <row r="129" spans="1:14">
      <c r="A129"/>
      <c r="C129" s="4"/>
      <c r="D129" s="2"/>
      <c r="M129" s="4"/>
      <c r="N129" s="2"/>
    </row>
    <row r="130" spans="1:14">
      <c r="K130" s="171"/>
    </row>
    <row r="131" spans="1:14">
      <c r="D131" s="2"/>
      <c r="K131" s="171"/>
      <c r="N131" s="2"/>
    </row>
    <row r="132" spans="1:14">
      <c r="A132"/>
      <c r="C132" s="5"/>
      <c r="D132" s="2"/>
      <c r="M132" s="5"/>
      <c r="N132" s="2"/>
    </row>
    <row r="133" spans="1:14">
      <c r="A133"/>
      <c r="C133" s="4"/>
      <c r="D133" s="2"/>
      <c r="M133" s="4"/>
      <c r="N133" s="2"/>
    </row>
    <row r="134" spans="1:14">
      <c r="A134"/>
      <c r="C134" s="4"/>
      <c r="D134" s="2"/>
      <c r="M134" s="4"/>
      <c r="N134" s="2"/>
    </row>
    <row r="135" spans="1:14">
      <c r="A135"/>
      <c r="C135" s="4"/>
      <c r="D135" s="2"/>
      <c r="M135" s="4"/>
      <c r="N135" s="2"/>
    </row>
    <row r="146" spans="4:8">
      <c r="D146">
        <v>24</v>
      </c>
      <c r="E146">
        <v>111.08</v>
      </c>
      <c r="F146" s="4">
        <v>8.8499999999999995E-2</v>
      </c>
      <c r="G146">
        <f>+E146*F146</f>
        <v>9.8305799999999994</v>
      </c>
      <c r="H146">
        <f>+E146+G146</f>
        <v>120.91058</v>
      </c>
    </row>
    <row r="147" spans="4:8">
      <c r="D147">
        <v>25</v>
      </c>
      <c r="E147">
        <v>116.88</v>
      </c>
      <c r="F147" s="4">
        <v>8.8499999999999995E-2</v>
      </c>
      <c r="G147">
        <f>+E147*F147</f>
        <v>10.343879999999999</v>
      </c>
      <c r="H147">
        <f>+E147+G147</f>
        <v>127.22387999999999</v>
      </c>
    </row>
    <row r="148" spans="4:8">
      <c r="E148">
        <f>+E147-E146</f>
        <v>5.7999999999999972</v>
      </c>
    </row>
  </sheetData>
  <mergeCells count="2">
    <mergeCell ref="C1:I1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 25 - REALES</vt:lpstr>
      <vt:lpstr>COSTES 26</vt:lpstr>
      <vt:lpstr>GENERALES</vt:lpstr>
      <vt:lpstr>GRAFICOS </vt:lpstr>
      <vt:lpstr>ecoparques</vt:lpstr>
      <vt:lpstr>TN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Bresó Grancha</dc:creator>
  <cp:lastModifiedBy>Irene Bresó Grancha</cp:lastModifiedBy>
  <cp:lastPrinted>2025-10-12T17:27:39Z</cp:lastPrinted>
  <dcterms:created xsi:type="dcterms:W3CDTF">2025-09-10T12:22:05Z</dcterms:created>
  <dcterms:modified xsi:type="dcterms:W3CDTF">2025-10-23T11:41:51Z</dcterms:modified>
</cp:coreProperties>
</file>